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risto\Documents\Documents\САК\Отчети\Отчет първо полугодие 2026 г\"/>
    </mc:Choice>
  </mc:AlternateContent>
  <xr:revisionPtr revIDLastSave="0" documentId="13_ncr:1_{8C082E96-B77D-466F-8ABF-2BDEB9248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  <sheet name="Разходи" sheetId="5" r:id="rId2"/>
  </sheets>
  <definedNames>
    <definedName name="_xlnm._FilterDatabase" localSheetId="1" hidden="1">Разходи!$A$5:$I$65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" l="1"/>
  <c r="J14" i="1"/>
  <c r="J57" i="5"/>
  <c r="J41" i="5"/>
  <c r="J45" i="5"/>
  <c r="J49" i="5"/>
  <c r="J34" i="5"/>
  <c r="J17" i="5"/>
  <c r="J7" i="5"/>
  <c r="J28" i="1" l="1"/>
  <c r="J27" i="1"/>
  <c r="J22" i="1"/>
  <c r="J19" i="1"/>
  <c r="J35" i="5"/>
  <c r="J26" i="5"/>
  <c r="J25" i="5"/>
  <c r="J24" i="5"/>
  <c r="J22" i="5"/>
  <c r="J21" i="5"/>
  <c r="J18" i="5"/>
  <c r="J18" i="1"/>
  <c r="J12" i="5"/>
  <c r="J59" i="5"/>
  <c r="J58" i="5"/>
  <c r="J55" i="5"/>
  <c r="J9" i="5"/>
  <c r="J11" i="1"/>
  <c r="K11" i="1" s="1"/>
  <c r="J52" i="5"/>
  <c r="J50" i="5"/>
  <c r="J48" i="5"/>
  <c r="J44" i="5"/>
  <c r="J40" i="5"/>
  <c r="J32" i="5"/>
  <c r="J30" i="1"/>
  <c r="J8" i="1"/>
  <c r="J20" i="5"/>
  <c r="J14" i="5"/>
  <c r="J11" i="5"/>
  <c r="J10" i="5"/>
  <c r="J10" i="1" l="1"/>
  <c r="J9" i="1"/>
  <c r="J29" i="1"/>
  <c r="J24" i="1"/>
  <c r="J21" i="1"/>
  <c r="J20" i="1"/>
  <c r="K8" i="1" l="1"/>
  <c r="K9" i="1"/>
  <c r="K10" i="1"/>
  <c r="K12" i="1"/>
  <c r="K14" i="1"/>
  <c r="K15" i="1"/>
  <c r="K16" i="1"/>
  <c r="K18" i="1"/>
  <c r="K19" i="1"/>
  <c r="K20" i="1"/>
  <c r="K21" i="1"/>
  <c r="K22" i="1"/>
  <c r="K24" i="1"/>
  <c r="K25" i="1"/>
  <c r="K26" i="1"/>
  <c r="K27" i="1"/>
  <c r="K28" i="1"/>
  <c r="K29" i="1"/>
  <c r="K30" i="1"/>
  <c r="K31" i="1"/>
  <c r="J23" i="1"/>
  <c r="K23" i="1" s="1"/>
  <c r="J17" i="1"/>
  <c r="K17" i="1" s="1"/>
  <c r="J13" i="1"/>
  <c r="K13" i="1" s="1"/>
  <c r="J7" i="1"/>
  <c r="K7" i="1" s="1"/>
  <c r="K7" i="5"/>
  <c r="K9" i="5"/>
  <c r="K10" i="5"/>
  <c r="K11" i="5"/>
  <c r="K12" i="5"/>
  <c r="K14" i="5"/>
  <c r="K15" i="5"/>
  <c r="K17" i="5"/>
  <c r="K18" i="5"/>
  <c r="K20" i="5"/>
  <c r="K21" i="5"/>
  <c r="K22" i="5"/>
  <c r="K24" i="5"/>
  <c r="K25" i="5"/>
  <c r="K26" i="5"/>
  <c r="K27" i="5"/>
  <c r="K28" i="5"/>
  <c r="K30" i="5"/>
  <c r="K31" i="5"/>
  <c r="K32" i="5"/>
  <c r="K34" i="5"/>
  <c r="K35" i="5"/>
  <c r="K36" i="5"/>
  <c r="K37" i="5"/>
  <c r="K40" i="5"/>
  <c r="K41" i="5"/>
  <c r="K42" i="5"/>
  <c r="K44" i="5"/>
  <c r="K45" i="5"/>
  <c r="K46" i="5"/>
  <c r="K48" i="5"/>
  <c r="K49" i="5"/>
  <c r="K50" i="5"/>
  <c r="K51" i="5"/>
  <c r="K52" i="5"/>
  <c r="K53" i="5"/>
  <c r="K55" i="5"/>
  <c r="K57" i="5"/>
  <c r="K58" i="5"/>
  <c r="K59" i="5"/>
  <c r="K61" i="5"/>
  <c r="J56" i="5"/>
  <c r="K56" i="5" s="1"/>
  <c r="J47" i="5"/>
  <c r="K47" i="5" s="1"/>
  <c r="J43" i="5"/>
  <c r="J39" i="5"/>
  <c r="K39" i="5" s="1"/>
  <c r="J33" i="5"/>
  <c r="K33" i="5" s="1"/>
  <c r="J29" i="5"/>
  <c r="K29" i="5" s="1"/>
  <c r="J23" i="5"/>
  <c r="K23" i="5" s="1"/>
  <c r="J19" i="5"/>
  <c r="K19" i="5" s="1"/>
  <c r="J16" i="5"/>
  <c r="K16" i="5" s="1"/>
  <c r="J13" i="5"/>
  <c r="K13" i="5" s="1"/>
  <c r="J6" i="5"/>
  <c r="K6" i="5" s="1"/>
  <c r="J8" i="5"/>
  <c r="K8" i="5" s="1"/>
  <c r="J38" i="5" l="1"/>
  <c r="K38" i="5" s="1"/>
  <c r="K43" i="5"/>
  <c r="J33" i="1"/>
  <c r="J63" i="5"/>
  <c r="J34" i="1" s="1"/>
  <c r="K34" i="1" s="1"/>
  <c r="I63" i="5"/>
  <c r="I33" i="1"/>
  <c r="I35" i="1" s="1"/>
  <c r="K33" i="1" l="1"/>
  <c r="J64" i="5"/>
  <c r="K64" i="5" s="1"/>
  <c r="K63" i="5"/>
  <c r="J35" i="1"/>
  <c r="I65" i="5"/>
  <c r="J65" i="5" l="1"/>
</calcChain>
</file>

<file path=xl/sharedStrings.xml><?xml version="1.0" encoding="utf-8"?>
<sst xmlns="http://schemas.openxmlformats.org/spreadsheetml/2006/main" count="183" uniqueCount="151">
  <si>
    <t>ОБЩА ФИНАНСОВА РАМКА</t>
  </si>
  <si>
    <t>Раздел I. ПРИХОДНА ЧАСТ</t>
  </si>
  <si>
    <t>1.1.</t>
  </si>
  <si>
    <t>1.2.</t>
  </si>
  <si>
    <t>Отчисления от събиран членски внос към ВАдвС в това число:</t>
  </si>
  <si>
    <t>4.1.</t>
  </si>
  <si>
    <t>4.2.</t>
  </si>
  <si>
    <t xml:space="preserve"> - постъпления от отчисления за несъбран членски внос от минали години</t>
  </si>
  <si>
    <t>4.3.</t>
  </si>
  <si>
    <t>Приходи от административни услуги, от които:</t>
  </si>
  <si>
    <t>5.1.</t>
  </si>
  <si>
    <t>Приходи от такси жалби</t>
  </si>
  <si>
    <t>5.2.</t>
  </si>
  <si>
    <t>Приходи от такси изпити</t>
  </si>
  <si>
    <t>5.3.</t>
  </si>
  <si>
    <t>Приходи от адв.пълномощни (кочани)</t>
  </si>
  <si>
    <t>5.4.</t>
  </si>
  <si>
    <t>Приходи от стикери</t>
  </si>
  <si>
    <t>5.5.</t>
  </si>
  <si>
    <t>Приходи от администриране на заявления</t>
  </si>
  <si>
    <t xml:space="preserve"> Приходи от наеми на кантори в Търговски дом, от които:</t>
  </si>
  <si>
    <t>6.1.</t>
  </si>
  <si>
    <t>- Приходи от наеми за текущата година</t>
  </si>
  <si>
    <t>6.2.</t>
  </si>
  <si>
    <t>- приходи от неплатени наеми за предходни години</t>
  </si>
  <si>
    <t>Приходи от ОД Лозенец</t>
  </si>
  <si>
    <t>Приходи от Хижа Витоша</t>
  </si>
  <si>
    <t>Приходи от ксерокс</t>
  </si>
  <si>
    <t>ОБЩО ПРИХОДИ: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</si>
  <si>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</si>
  <si>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</si>
  <si>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</si>
  <si>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</si>
  <si>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</si>
  <si>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</si>
  <si>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</si>
  <si>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</si>
  <si>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</si>
  <si>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</si>
  <si>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</si>
  <si>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</si>
  <si>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ОБЩО РАЗХОДИ:</t>
  </si>
  <si>
    <t>Други непредвидени разходи</t>
  </si>
  <si>
    <t>Д. Резервен фонд</t>
  </si>
  <si>
    <t>Разходи за реализиране инвестиционен проект в ОД Лозенец</t>
  </si>
  <si>
    <t>Разходи за библиотека и библиотечен фонд</t>
  </si>
  <si>
    <t>Разходи за придобиване на материално имущество и инвентар</t>
  </si>
  <si>
    <t>Г. РАЗХОДИ, водещи до трансформация на имущество</t>
  </si>
  <si>
    <t>Разходи за стикери 2023</t>
  </si>
  <si>
    <t>Банкови такси и комисиони</t>
  </si>
  <si>
    <t>Разходи за обезпечаване на дейността на Контролен съвет при САК</t>
  </si>
  <si>
    <t>17.3.</t>
  </si>
  <si>
    <t>Разходи за заплати и осигуровки</t>
  </si>
  <si>
    <t>17.2.</t>
  </si>
  <si>
    <t>Консумативни разноски</t>
  </si>
  <si>
    <t>17.1.</t>
  </si>
  <si>
    <t>Разходи за обезпечаване на дейността на Дисциплинарен съд</t>
  </si>
  <si>
    <t>Разходи за текущи ремонти</t>
  </si>
  <si>
    <t>16.2.3.</t>
  </si>
  <si>
    <t>Разходи за работна заплата и осигуровки на служителите</t>
  </si>
  <si>
    <t>16.2.2.</t>
  </si>
  <si>
    <t>16.2.1.</t>
  </si>
  <si>
    <t>Хижа "Адвокат" - планина Витоша</t>
  </si>
  <si>
    <t>16.2.</t>
  </si>
  <si>
    <t>Разходи за текущи ремонти и обзавеждане</t>
  </si>
  <si>
    <t>16.1.3.</t>
  </si>
  <si>
    <t>16.1.2.</t>
  </si>
  <si>
    <t>16.1.1.</t>
  </si>
  <si>
    <t>Оздравителен дом на САК - с. Лозенец</t>
  </si>
  <si>
    <t>16.1.</t>
  </si>
  <si>
    <t>Разходи за бази на САК (в т.ч. административни, режийни, ФРЗ, осигурителни вноски, ремонти и други разходи)</t>
  </si>
  <si>
    <t>Разходи за здравна профилактика на Членове на САК, социални и културни дейности</t>
  </si>
  <si>
    <t>Консумативи и административни разходи</t>
  </si>
  <si>
    <t>13.2.</t>
  </si>
  <si>
    <t>13.1.</t>
  </si>
  <si>
    <t>Разходи за администриране на правна помощ (в т.ч. административни, режийни, ФРЗ на служители в звено "Правна помощ" и осигуровки)</t>
  </si>
  <si>
    <t>Разходи за програмни продукти (правно-информационни системи Апис и Сиела), предоставени за ползване на членове на САК за 2021 г. по сключени Договори</t>
  </si>
  <si>
    <t>11.2.</t>
  </si>
  <si>
    <t>За членски внос в международни организации и международни мероприятия</t>
  </si>
  <si>
    <t>11.1.</t>
  </si>
  <si>
    <t>Разходи за местни данъци и такси</t>
  </si>
  <si>
    <t>Разходи за ремонти - кантори в търговски дом, участие в ремонт на общи части в Търговски дом</t>
  </si>
  <si>
    <t>Финансова помощ за членове на САК при раждане на дете</t>
  </si>
  <si>
    <t>7.2.</t>
  </si>
  <si>
    <t>Финансова помощ за членове на САК в тежко здравословно състояние</t>
  </si>
  <si>
    <t>7.1.</t>
  </si>
  <si>
    <t>Разходи за финансова помощ за адвокати в тежко здравословно състояние и помощи при раждане на дете</t>
  </si>
  <si>
    <t>Разходи за други мероприятия</t>
  </si>
  <si>
    <t>6.3.</t>
  </si>
  <si>
    <t>Разходи за общо събрание на САК</t>
  </si>
  <si>
    <t>Разходи за мероприятия и събития на САК:</t>
  </si>
  <si>
    <t>Възнаграждения на Председател, Заместник-председател, Секретар и заместващ секретаря</t>
  </si>
  <si>
    <t>Разходи за адвокатски съвет, от които:</t>
  </si>
  <si>
    <t>Командировъчни разходи в чужбина</t>
  </si>
  <si>
    <t>Командировъчни разходи в страната</t>
  </si>
  <si>
    <t>Лични предпазни средства</t>
  </si>
  <si>
    <t>2.3.</t>
  </si>
  <si>
    <t>2.2.</t>
  </si>
  <si>
    <t>Ваучери за храна</t>
  </si>
  <si>
    <t>2.1.</t>
  </si>
  <si>
    <t>Социални разходи :</t>
  </si>
  <si>
    <t xml:space="preserve">Разходи по трудови договори др.плащания по КТ ЗА СЛУЖИТЕЛИ НА САК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</si>
  <si>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Раздел II. РАЗХОДНА ЧАСТ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</si>
  <si>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</si>
  <si>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</si>
  <si>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</si>
  <si>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</si>
  <si>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</si>
  <si>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</si>
  <si>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</si>
  <si>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</si>
  <si>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</si>
  <si>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</si>
  <si>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</si>
  <si>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</si>
  <si>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Разходи за обучения и семинари</t>
  </si>
  <si>
    <t>Консумативни разходи за офисите на САК</t>
  </si>
  <si>
    <t xml:space="preserve"> - постъпления от несъбран членски внос от минали години</t>
  </si>
  <si>
    <t>Карти за градски транспорт</t>
  </si>
  <si>
    <t>1.3.</t>
  </si>
  <si>
    <t>Приходи от разноски по дисциплинарни дела и дисциплинарно наказание глоба</t>
  </si>
  <si>
    <t>- приходи от авансово платени наеми за бъдещи периоди</t>
  </si>
  <si>
    <t>Встъпителни вноски</t>
  </si>
  <si>
    <t>Приходи от правна помощ (плащания по чл. 19 от ЗПП)</t>
  </si>
  <si>
    <t>Командировъчни</t>
  </si>
  <si>
    <t xml:space="preserve"> - постъпления от членски внос за бъдещи периоди</t>
  </si>
  <si>
    <t>Други приходи</t>
  </si>
  <si>
    <t xml:space="preserve"> - постъпления от отчисления за събран членски внос за бъдещ период</t>
  </si>
  <si>
    <r>
      <t xml:space="preserve">В. Чисти разходи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(не водят до трансформация на паричното имущество, респ. нямат нито парична, нито друга имуществена възвращаемост)</t>
    </r>
  </si>
  <si>
    <t>Възнаграждения за членове на съвета</t>
  </si>
  <si>
    <t>РЕЗУЛТАТ:</t>
  </si>
  <si>
    <t>Разходи за софтуерни разработки, софтуерни продукти, равитие на електронен портал в закрита секция на сайта, информационни услуги и сървъри</t>
  </si>
  <si>
    <t>Разходи за участие в международни мероприятия</t>
  </si>
  <si>
    <t>Разходи за персонал (без ОД Лозенец, Хижа "Витоша", "Правна помощ", "Дисциплинарен съд" и "Библиотека")</t>
  </si>
  <si>
    <t xml:space="preserve"> - постъпления от отчисления за събран членски внос за текущата година при 5800 адвокати</t>
  </si>
  <si>
    <t>22.1.</t>
  </si>
  <si>
    <t>22.2.</t>
  </si>
  <si>
    <t>Разходи за книги, абонамент за софтуер и консумативи</t>
  </si>
  <si>
    <t>БЮДЖЕТ на Софийска адвокатска колегия за 2026 г.                                                                                   (проект)</t>
  </si>
  <si>
    <t xml:space="preserve"> </t>
  </si>
  <si>
    <t>Б. Очаквани приходи за 2026 г.</t>
  </si>
  <si>
    <t>Дължим членски внос - постъпления за 2026 г., от които:</t>
  </si>
  <si>
    <t xml:space="preserve"> - постъпления от членски внос за 2026 г., изчислен на база 5800 адвокати</t>
  </si>
  <si>
    <t>Разходи за международни мероприятия и участия в междурадни организация</t>
  </si>
  <si>
    <t>Разходи за възнаграждения на дисциплинарния съд</t>
  </si>
  <si>
    <t>Разходи за външни услуги</t>
  </si>
  <si>
    <t>Предвиждане за 2026 г.</t>
  </si>
  <si>
    <t>БЮДЖЕТ на Софийска адвокатска колегия за 2026 г.</t>
  </si>
  <si>
    <t>А. Постъпления от наличности към 01.01.2026 г.</t>
  </si>
  <si>
    <t>%
изпълнение</t>
  </si>
  <si>
    <t>Изпълнение на бюджет за период 01.01.2026-30.06.2026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</si>
</sst>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лв.&quot;_-;\-* #,##0.00\ &quot;лв.&quot;_-;_-* &quot;-&quot;??\ &quot;лв.&quot;_-;_-@_-"/>
    <numFmt numFmtId="164" formatCode="#,##0.00\ &quot;лв.&quot;"/>
    <numFmt numFmtId="165" formatCode="_-* #,##0.00\ [$€-1]_-;\-* #,##0.00\ [$€-1]_-;_-* &quot;-&quot;??\ [$€-1]_-;_-@_-"/>
    <numFmt numFmtId="166" formatCode="_-* #,##0\ [$€-1]_-;\-* #,##0\ [$€-1]_-;_-* &quot;-&quot;??\ [$€-1]_-;_-@_-"/>
    <numFmt numFmtId="167" formatCode="#,##0.00\ [$€-1];[Red]\-#,##0.00\ [$€-1]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8" applyNumberFormat="0" applyAlignment="0" applyProtection="0"/>
    <xf numFmtId="0" fontId="16" fillId="6" borderId="9" applyNumberFormat="0" applyAlignment="0" applyProtection="0"/>
    <xf numFmtId="0" fontId="17" fillId="6" borderId="8" applyNumberFormat="0" applyAlignment="0" applyProtection="0"/>
    <xf numFmtId="0" fontId="18" fillId="0" borderId="10" applyNumberFormat="0" applyFill="0" applyAlignment="0" applyProtection="0"/>
    <xf numFmtId="0" fontId="19" fillId="7" borderId="11" applyNumberFormat="0" applyAlignment="0" applyProtection="0"/>
    <xf numFmtId="0" fontId="20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21" fillId="0" borderId="0" applyNumberFormat="0" applyFill="0" applyBorder="0" applyAlignment="0" applyProtection="0"/>
    <xf numFmtId="0" fontId="4" fillId="0" borderId="13" applyNumberFormat="0" applyFill="0" applyAlignment="0" applyProtection="0"/>
    <xf numFmtId="0" fontId="2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166" fontId="0" fillId="0" borderId="0" xfId="0" applyNumberFormat="1" applyAlignment="1">
      <alignment vertical="center"/>
    </xf>
    <xf numFmtId="165" fontId="0" fillId="0" borderId="0" xfId="1" applyNumberFormat="1" applyFont="1" applyAlignment="1">
      <alignment vertical="center" wrapText="1"/>
    </xf>
    <xf numFmtId="165" fontId="7" fillId="33" borderId="14" xfId="1" applyNumberFormat="1" applyFont="1" applyFill="1" applyBorder="1" applyAlignment="1">
      <alignment vertical="center" wrapText="1"/>
    </xf>
    <xf numFmtId="166" fontId="24" fillId="35" borderId="2" xfId="1" applyNumberFormat="1" applyFont="1" applyFill="1" applyBorder="1" applyAlignment="1">
      <alignment vertical="center" wrapText="1"/>
    </xf>
    <xf numFmtId="0" fontId="5" fillId="35" borderId="2" xfId="0" applyFont="1" applyFill="1" applyBorder="1" applyAlignment="1">
      <alignment horizontal="left" vertical="center" wrapText="1"/>
    </xf>
    <xf numFmtId="165" fontId="7" fillId="34" borderId="2" xfId="1" applyNumberFormat="1" applyFont="1" applyFill="1" applyBorder="1" applyAlignment="1">
      <alignment horizontal="center" vertical="center" wrapText="1"/>
    </xf>
    <xf numFmtId="0" fontId="6" fillId="34" borderId="2" xfId="0" applyFont="1" applyFill="1" applyBorder="1" applyAlignment="1">
      <alignment horizontal="left" vertical="center" wrapText="1"/>
    </xf>
    <xf numFmtId="166" fontId="24" fillId="34" borderId="2" xfId="1" applyNumberFormat="1" applyFont="1" applyFill="1" applyBorder="1" applyAlignment="1">
      <alignment vertical="center" wrapText="1"/>
    </xf>
    <xf numFmtId="0" fontId="23" fillId="34" borderId="2" xfId="0" applyFont="1" applyFill="1" applyBorder="1" applyAlignment="1">
      <alignment horizontal="left" vertical="center" wrapText="1"/>
    </xf>
    <xf numFmtId="0" fontId="2" fillId="34" borderId="2" xfId="0" applyFont="1" applyFill="1" applyBorder="1" applyAlignment="1">
      <alignment horizontal="right" vertical="center" wrapText="1"/>
    </xf>
    <xf numFmtId="0" fontId="5" fillId="34" borderId="2" xfId="0" applyFont="1" applyFill="1" applyBorder="1" applyAlignment="1">
      <alignment horizontal="left" vertical="center" wrapText="1"/>
    </xf>
    <xf numFmtId="165" fontId="6" fillId="34" borderId="2" xfId="1" applyNumberFormat="1" applyFont="1" applyFill="1" applyBorder="1" applyAlignment="1">
      <alignment horizontal="center" vertical="center" wrapText="1"/>
    </xf>
    <xf numFmtId="0" fontId="7" fillId="35" borderId="2" xfId="0" applyFont="1" applyFill="1" applyBorder="1" applyAlignment="1">
      <alignment horizontal="left" vertical="center" wrapText="1"/>
    </xf>
    <xf numFmtId="166" fontId="7" fillId="33" borderId="2" xfId="1" applyNumberFormat="1" applyFont="1" applyFill="1" applyBorder="1" applyAlignment="1">
      <alignment vertical="center"/>
    </xf>
    <xf numFmtId="166" fontId="7" fillId="34" borderId="2" xfId="0" applyNumberFormat="1" applyFont="1" applyFill="1" applyBorder="1" applyAlignment="1">
      <alignment horizontal="center" vertical="center" wrapText="1"/>
    </xf>
    <xf numFmtId="166" fontId="6" fillId="34" borderId="2" xfId="0" applyNumberFormat="1" applyFont="1" applyFill="1" applyBorder="1" applyAlignment="1">
      <alignment vertical="center"/>
    </xf>
    <xf numFmtId="0" fontId="7" fillId="34" borderId="2" xfId="0" applyFont="1" applyFill="1" applyBorder="1" applyAlignment="1">
      <alignment horizontal="left" vertical="center" wrapText="1"/>
    </xf>
    <xf numFmtId="166" fontId="6" fillId="34" borderId="2" xfId="1" applyNumberFormat="1" applyFont="1" applyFill="1" applyBorder="1" applyAlignment="1">
      <alignment vertical="center"/>
    </xf>
    <xf numFmtId="166" fontId="7" fillId="35" borderId="2" xfId="1" applyNumberFormat="1" applyFont="1" applyFill="1" applyBorder="1" applyAlignment="1">
      <alignment vertical="center"/>
    </xf>
    <xf numFmtId="166" fontId="7" fillId="35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7" fontId="7" fillId="34" borderId="2" xfId="1" applyNumberFormat="1" applyFont="1" applyFill="1" applyBorder="1" applyAlignment="1">
      <alignment horizontal="center" vertical="center" wrapText="1"/>
    </xf>
    <xf numFmtId="167" fontId="7" fillId="37" borderId="2" xfId="1" applyNumberFormat="1" applyFont="1" applyFill="1" applyBorder="1" applyAlignment="1">
      <alignment vertical="center"/>
    </xf>
    <xf numFmtId="167" fontId="7" fillId="37" borderId="14" xfId="1" applyNumberFormat="1" applyFont="1" applyFill="1" applyBorder="1" applyAlignment="1">
      <alignment vertical="center" wrapText="1"/>
    </xf>
    <xf numFmtId="167" fontId="7" fillId="36" borderId="2" xfId="1" applyNumberFormat="1" applyFont="1" applyFill="1" applyBorder="1" applyAlignment="1">
      <alignment horizontal="right" vertical="center" wrapText="1"/>
    </xf>
    <xf numFmtId="167" fontId="24" fillId="36" borderId="2" xfId="1" applyNumberFormat="1" applyFont="1" applyFill="1" applyBorder="1" applyAlignment="1">
      <alignment horizontal="right" vertical="center" wrapText="1"/>
    </xf>
    <xf numFmtId="167" fontId="24" fillId="34" borderId="2" xfId="1" applyNumberFormat="1" applyFont="1" applyFill="1" applyBorder="1" applyAlignment="1">
      <alignment horizontal="right" vertical="center" wrapText="1"/>
    </xf>
    <xf numFmtId="167" fontId="6" fillId="34" borderId="2" xfId="1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10" fontId="0" fillId="0" borderId="2" xfId="0" applyNumberForma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67" fontId="6" fillId="34" borderId="2" xfId="1" applyNumberFormat="1" applyFont="1" applyFill="1" applyBorder="1" applyAlignment="1">
      <alignment vertical="center"/>
    </xf>
    <xf numFmtId="167" fontId="7" fillId="36" borderId="2" xfId="1" applyNumberFormat="1" applyFont="1" applyFill="1" applyBorder="1" applyAlignment="1">
      <alignment vertical="center"/>
    </xf>
    <xf numFmtId="10" fontId="0" fillId="0" borderId="2" xfId="0" applyNumberFormat="1" applyBorder="1"/>
    <xf numFmtId="10" fontId="0" fillId="0" borderId="0" xfId="0" applyNumberFormat="1"/>
    <xf numFmtId="0" fontId="5" fillId="34" borderId="2" xfId="0" applyFont="1" applyFill="1" applyBorder="1" applyAlignment="1">
      <alignment horizontal="right" vertical="center" wrapText="1"/>
    </xf>
    <xf numFmtId="0" fontId="7" fillId="33" borderId="1" xfId="0" applyFont="1" applyFill="1" applyBorder="1" applyAlignment="1">
      <alignment horizontal="right" vertical="center" wrapText="1"/>
    </xf>
    <xf numFmtId="0" fontId="7" fillId="33" borderId="3" xfId="0" applyFont="1" applyFill="1" applyBorder="1" applyAlignment="1">
      <alignment horizontal="right" vertical="center" wrapText="1"/>
    </xf>
    <xf numFmtId="0" fontId="7" fillId="33" borderId="4" xfId="0" applyFont="1" applyFill="1" applyBorder="1" applyAlignment="1">
      <alignment horizontal="right" vertical="center" wrapText="1"/>
    </xf>
    <xf numFmtId="49" fontId="6" fillId="34" borderId="2" xfId="0" applyNumberFormat="1" applyFont="1" applyFill="1" applyBorder="1" applyAlignment="1">
      <alignment vertical="center" wrapText="1"/>
    </xf>
    <xf numFmtId="0" fontId="7" fillId="34" borderId="2" xfId="0" applyFont="1" applyFill="1" applyBorder="1" applyAlignment="1">
      <alignment horizontal="right" vertical="center" wrapText="1"/>
    </xf>
    <xf numFmtId="0" fontId="6" fillId="34" borderId="2" xfId="0" applyFont="1" applyFill="1" applyBorder="1" applyAlignment="1">
      <alignment vertical="center" wrapText="1"/>
    </xf>
    <xf numFmtId="0" fontId="7" fillId="35" borderId="2" xfId="0" applyFont="1" applyFill="1" applyBorder="1" applyAlignment="1">
      <alignment vertical="center" wrapText="1"/>
    </xf>
    <xf numFmtId="0" fontId="7" fillId="34" borderId="2" xfId="0" applyFont="1" applyFill="1" applyBorder="1" applyAlignment="1">
      <alignment vertical="center" wrapText="1"/>
    </xf>
    <xf numFmtId="0" fontId="7" fillId="34" borderId="2" xfId="0" applyFont="1" applyFill="1" applyBorder="1" applyAlignment="1">
      <alignment horizontal="center" vertical="center" wrapText="1"/>
    </xf>
    <xf numFmtId="0" fontId="7" fillId="34" borderId="2" xfId="0" applyFont="1" applyFill="1" applyBorder="1" applyAlignment="1">
      <alignment horizontal="left" vertical="center" wrapText="1"/>
    </xf>
    <xf numFmtId="0" fontId="7" fillId="34" borderId="1" xfId="0" applyFont="1" applyFill="1" applyBorder="1" applyAlignment="1">
      <alignment horizontal="center" vertical="center" wrapText="1"/>
    </xf>
    <xf numFmtId="0" fontId="7" fillId="34" borderId="3" xfId="0" applyFont="1" applyFill="1" applyBorder="1" applyAlignment="1">
      <alignment horizontal="center" vertical="center" wrapText="1"/>
    </xf>
    <xf numFmtId="0" fontId="7" fillId="34" borderId="4" xfId="0" applyFont="1" applyFill="1" applyBorder="1" applyAlignment="1">
      <alignment horizontal="center" vertical="center" wrapText="1"/>
    </xf>
    <xf numFmtId="0" fontId="7" fillId="35" borderId="2" xfId="0" applyFont="1" applyFill="1" applyBorder="1" applyAlignment="1">
      <alignment horizontal="left" vertical="center" wrapText="1"/>
    </xf>
    <xf numFmtId="0" fontId="5" fillId="34" borderId="1" xfId="0" applyFont="1" applyFill="1" applyBorder="1" applyAlignment="1">
      <alignment horizontal="center" vertical="center" wrapText="1"/>
    </xf>
    <xf numFmtId="0" fontId="5" fillId="34" borderId="3" xfId="0" applyFont="1" applyFill="1" applyBorder="1" applyAlignment="1">
      <alignment horizontal="center" vertical="center" wrapText="1"/>
    </xf>
    <xf numFmtId="0" fontId="5" fillId="34" borderId="4" xfId="0" applyFont="1" applyFill="1" applyBorder="1" applyAlignment="1">
      <alignment horizontal="center" vertical="center" wrapText="1"/>
    </xf>
    <xf numFmtId="0" fontId="5" fillId="34" borderId="2" xfId="0" applyFont="1" applyFill="1" applyBorder="1" applyAlignment="1">
      <alignment horizontal="left" vertical="center" wrapText="1"/>
    </xf>
    <xf numFmtId="0" fontId="5" fillId="35" borderId="2" xfId="0" applyFont="1" applyFill="1" applyBorder="1" applyAlignment="1">
      <alignment vertical="center" wrapText="1"/>
    </xf>
    <xf numFmtId="0" fontId="23" fillId="34" borderId="2" xfId="0" applyFont="1" applyFill="1" applyBorder="1" applyAlignment="1">
      <alignment vertical="center" wrapText="1"/>
    </xf>
    <xf numFmtId="0" fontId="5" fillId="34" borderId="2" xfId="0" applyFont="1" applyFill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="120" zoomScaleNormal="120" workbookViewId="0">
      <selection activeCell="K12" sqref="K12"/>
    </sheetView>
  </sheetViews>
  <sheetFormatPr defaultColWidth="9.140625" defaultRowHeight="15" x14ac:dyDescent="0.25"/>
  <cols>
    <col min="1" max="1" width="6.7109375" style="1" customWidth="1"/>
    <col min="2" max="7" width="9.140625" style="1"/>
    <col min="8" max="8" width="8.7109375" style="1" customWidth="1"/>
    <col min="9" max="9" width="15.5703125" style="5" customWidth="1"/>
    <col min="10" max="10" width="16.140625" customWidth="1"/>
    <col min="11" max="11" width="12.42578125" bestFit="1" customWidth="1"/>
    <col min="12" max="12" width="60.42578125" style="2" customWidth="1"/>
    <col min="13" max="16384" width="9.140625" style="1"/>
  </cols>
  <sheetData>
    <row r="1" spans="1:11" ht="15.75" thickBot="1" x14ac:dyDescent="0.3"/>
    <row r="2" spans="1:11" ht="15.75" thickBot="1" x14ac:dyDescent="0.3">
      <c r="A2" s="51" t="s">
        <v>147</v>
      </c>
      <c r="B2" s="52"/>
      <c r="C2" s="52"/>
      <c r="D2" s="52"/>
      <c r="E2" s="52"/>
      <c r="F2" s="52"/>
      <c r="G2" s="52"/>
      <c r="H2" s="52"/>
      <c r="I2" s="53"/>
    </row>
    <row r="3" spans="1:11" ht="15.75" thickBot="1" x14ac:dyDescent="0.3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11" ht="75.75" thickBot="1" x14ac:dyDescent="0.3">
      <c r="A4" s="49" t="s">
        <v>1</v>
      </c>
      <c r="B4" s="49"/>
      <c r="C4" s="49"/>
      <c r="D4" s="49"/>
      <c r="E4" s="49"/>
      <c r="F4" s="49"/>
      <c r="G4" s="49"/>
      <c r="H4" s="49"/>
      <c r="I4" s="19" t="s">
        <v>146</v>
      </c>
      <c r="J4" s="10" t="s">
        <v>150</v>
      </c>
      <c r="K4" s="35" t="s">
        <v>149</v>
      </c>
    </row>
    <row r="5" spans="1:11" ht="15.75" thickBot="1" x14ac:dyDescent="0.3">
      <c r="A5" s="50" t="s">
        <v>148</v>
      </c>
      <c r="B5" s="50"/>
      <c r="C5" s="50"/>
      <c r="D5" s="50"/>
      <c r="E5" s="50"/>
      <c r="F5" s="50"/>
      <c r="G5" s="50"/>
      <c r="H5" s="50"/>
      <c r="I5" s="20"/>
      <c r="J5" s="20"/>
      <c r="K5" s="38" t="s">
        <v>139</v>
      </c>
    </row>
    <row r="6" spans="1:11" ht="15.75" thickBot="1" x14ac:dyDescent="0.3">
      <c r="A6" s="54" t="s">
        <v>140</v>
      </c>
      <c r="B6" s="54"/>
      <c r="C6" s="54"/>
      <c r="D6" s="54"/>
      <c r="E6" s="54"/>
      <c r="F6" s="54"/>
      <c r="G6" s="54"/>
      <c r="H6" s="54"/>
      <c r="I6" s="23">
        <v>1394037.3140814898</v>
      </c>
      <c r="J6" s="37">
        <v>1394037.3140814898</v>
      </c>
      <c r="K6" s="38"/>
    </row>
    <row r="7" spans="1:11" ht="15.75" thickBot="1" x14ac:dyDescent="0.3">
      <c r="A7" s="17" t="s">
        <v>29</v>
      </c>
      <c r="B7" s="47" t="s">
        <v>141</v>
      </c>
      <c r="C7" s="47"/>
      <c r="D7" s="47"/>
      <c r="E7" s="47"/>
      <c r="F7" s="47"/>
      <c r="G7" s="47"/>
      <c r="H7" s="47"/>
      <c r="I7" s="23">
        <v>672348.82377302728</v>
      </c>
      <c r="J7" s="37">
        <f>SUM(J8:J10)</f>
        <v>352135.41000000003</v>
      </c>
      <c r="K7" s="38">
        <f>J7/I7</f>
        <v>0.52373916269224341</v>
      </c>
    </row>
    <row r="8" spans="1:11" ht="15.75" thickBot="1" x14ac:dyDescent="0.3">
      <c r="A8" s="11" t="s">
        <v>2</v>
      </c>
      <c r="B8" s="46" t="s">
        <v>142</v>
      </c>
      <c r="C8" s="46"/>
      <c r="D8" s="46"/>
      <c r="E8" s="46"/>
      <c r="F8" s="46"/>
      <c r="G8" s="46"/>
      <c r="H8" s="46"/>
      <c r="I8" s="22">
        <v>587985.66337565123</v>
      </c>
      <c r="J8" s="36">
        <f>228531.34+95805.68-25.56</f>
        <v>324311.46000000002</v>
      </c>
      <c r="K8" s="38">
        <f t="shared" ref="K8:K34" si="0">J8/I8</f>
        <v>0.55156355027113046</v>
      </c>
    </row>
    <row r="9" spans="1:11" ht="15.75" thickBot="1" x14ac:dyDescent="0.3">
      <c r="A9" s="11" t="s">
        <v>3</v>
      </c>
      <c r="B9" s="46" t="s">
        <v>117</v>
      </c>
      <c r="C9" s="46"/>
      <c r="D9" s="46"/>
      <c r="E9" s="46"/>
      <c r="F9" s="46"/>
      <c r="G9" s="46"/>
      <c r="H9" s="46"/>
      <c r="I9" s="22">
        <v>38346.891089716388</v>
      </c>
      <c r="J9" s="36">
        <f>23527.51+3680.04</f>
        <v>27207.55</v>
      </c>
      <c r="K9" s="38">
        <f t="shared" si="0"/>
        <v>0.70951123355333334</v>
      </c>
    </row>
    <row r="10" spans="1:11" ht="15.75" thickBot="1" x14ac:dyDescent="0.3">
      <c r="A10" s="11" t="s">
        <v>119</v>
      </c>
      <c r="B10" s="46" t="s">
        <v>125</v>
      </c>
      <c r="C10" s="46"/>
      <c r="D10" s="46"/>
      <c r="E10" s="46"/>
      <c r="F10" s="46"/>
      <c r="G10" s="46"/>
      <c r="H10" s="46"/>
      <c r="I10" s="22">
        <v>46016.269307659662</v>
      </c>
      <c r="J10" s="36">
        <f>432.4+184</f>
        <v>616.4</v>
      </c>
      <c r="K10" s="38">
        <f t="shared" si="0"/>
        <v>1.3395262355555555E-2</v>
      </c>
    </row>
    <row r="11" spans="1:11" ht="15.75" thickBot="1" x14ac:dyDescent="0.3">
      <c r="A11" s="17" t="s">
        <v>30</v>
      </c>
      <c r="B11" s="47" t="s">
        <v>122</v>
      </c>
      <c r="C11" s="47"/>
      <c r="D11" s="47"/>
      <c r="E11" s="47"/>
      <c r="F11" s="47"/>
      <c r="G11" s="47"/>
      <c r="H11" s="47"/>
      <c r="I11" s="23">
        <v>168726.3207947521</v>
      </c>
      <c r="J11" s="37">
        <f>70635.16+47831.49-306.77</f>
        <v>118159.87999999999</v>
      </c>
      <c r="K11" s="38">
        <f>J11/I11</f>
        <v>0.70030496394060604</v>
      </c>
    </row>
    <row r="12" spans="1:11" ht="15.75" thickBot="1" x14ac:dyDescent="0.3">
      <c r="A12" s="17" t="s">
        <v>31</v>
      </c>
      <c r="B12" s="47" t="s">
        <v>123</v>
      </c>
      <c r="C12" s="47"/>
      <c r="D12" s="47"/>
      <c r="E12" s="47"/>
      <c r="F12" s="47"/>
      <c r="G12" s="47"/>
      <c r="H12" s="47"/>
      <c r="I12" s="23">
        <v>270984.69703399582</v>
      </c>
      <c r="J12" s="37">
        <v>65715.42</v>
      </c>
      <c r="K12" s="38">
        <f t="shared" si="0"/>
        <v>0.24250601867660374</v>
      </c>
    </row>
    <row r="13" spans="1:11" ht="15.75" thickBot="1" x14ac:dyDescent="0.3">
      <c r="A13" s="17" t="s">
        <v>32</v>
      </c>
      <c r="B13" s="47" t="s">
        <v>4</v>
      </c>
      <c r="C13" s="47"/>
      <c r="D13" s="47"/>
      <c r="E13" s="47"/>
      <c r="F13" s="47"/>
      <c r="G13" s="47"/>
      <c r="H13" s="47"/>
      <c r="I13" s="23">
        <v>78738.949704217652</v>
      </c>
      <c r="J13" s="37">
        <f>SUM(J14:J16)</f>
        <v>40657.769999999997</v>
      </c>
      <c r="K13" s="38">
        <f t="shared" si="0"/>
        <v>0.51636159934480508</v>
      </c>
    </row>
    <row r="14" spans="1:11" ht="15.75" thickBot="1" x14ac:dyDescent="0.3">
      <c r="A14" s="11" t="s">
        <v>5</v>
      </c>
      <c r="B14" s="46" t="s">
        <v>134</v>
      </c>
      <c r="C14" s="46"/>
      <c r="D14" s="46"/>
      <c r="E14" s="46"/>
      <c r="F14" s="46"/>
      <c r="G14" s="46"/>
      <c r="H14" s="46"/>
      <c r="I14" s="22">
        <v>69024.403961489501</v>
      </c>
      <c r="J14" s="36">
        <f>26596.73+11137.36</f>
        <v>37734.089999999997</v>
      </c>
      <c r="K14" s="38">
        <f t="shared" si="0"/>
        <v>0.54667752033111106</v>
      </c>
    </row>
    <row r="15" spans="1:11" s="2" customFormat="1" ht="15.75" thickBot="1" x14ac:dyDescent="0.3">
      <c r="A15" s="11" t="s">
        <v>6</v>
      </c>
      <c r="B15" s="46" t="s">
        <v>7</v>
      </c>
      <c r="C15" s="46"/>
      <c r="D15" s="46"/>
      <c r="E15" s="46"/>
      <c r="F15" s="46"/>
      <c r="G15" s="46"/>
      <c r="H15" s="46"/>
      <c r="I15" s="22">
        <v>4601.6269307659668</v>
      </c>
      <c r="J15" s="36">
        <f>2516.88+406.8</f>
        <v>2923.6800000000003</v>
      </c>
      <c r="K15" s="38">
        <f t="shared" si="0"/>
        <v>0.63535789493333339</v>
      </c>
    </row>
    <row r="16" spans="1:11" ht="15.75" thickBot="1" x14ac:dyDescent="0.3">
      <c r="A16" s="11" t="s">
        <v>8</v>
      </c>
      <c r="B16" s="46" t="s">
        <v>127</v>
      </c>
      <c r="C16" s="46"/>
      <c r="D16" s="46"/>
      <c r="E16" s="46"/>
      <c r="F16" s="46"/>
      <c r="G16" s="46"/>
      <c r="H16" s="46"/>
      <c r="I16" s="22">
        <v>5112.9188119621849</v>
      </c>
      <c r="J16" s="36"/>
      <c r="K16" s="38">
        <f t="shared" si="0"/>
        <v>0</v>
      </c>
    </row>
    <row r="17" spans="1:11" ht="15.75" thickBot="1" x14ac:dyDescent="0.3">
      <c r="A17" s="17" t="s">
        <v>33</v>
      </c>
      <c r="B17" s="47" t="s">
        <v>9</v>
      </c>
      <c r="C17" s="47"/>
      <c r="D17" s="47"/>
      <c r="E17" s="47"/>
      <c r="F17" s="47"/>
      <c r="G17" s="47"/>
      <c r="H17" s="47"/>
      <c r="I17" s="23">
        <v>31188.804752969329</v>
      </c>
      <c r="J17" s="37">
        <f>SUM(J18:J22)</f>
        <v>17181.46</v>
      </c>
      <c r="K17" s="38">
        <f t="shared" si="0"/>
        <v>0.55088549035737699</v>
      </c>
    </row>
    <row r="18" spans="1:11" ht="15.75" thickBot="1" x14ac:dyDescent="0.3">
      <c r="A18" s="11" t="s">
        <v>10</v>
      </c>
      <c r="B18" s="48" t="s">
        <v>11</v>
      </c>
      <c r="C18" s="48"/>
      <c r="D18" s="48"/>
      <c r="E18" s="48"/>
      <c r="F18" s="48"/>
      <c r="G18" s="48"/>
      <c r="H18" s="48"/>
      <c r="I18" s="22">
        <v>3579.0431683735296</v>
      </c>
      <c r="J18" s="36">
        <f>327.2+1022.2+777.1+572.02</f>
        <v>2698.52</v>
      </c>
      <c r="K18" s="38">
        <f t="shared" si="0"/>
        <v>0.75397805308571419</v>
      </c>
    </row>
    <row r="19" spans="1:11" ht="15.75" thickBot="1" x14ac:dyDescent="0.3">
      <c r="A19" s="11" t="s">
        <v>12</v>
      </c>
      <c r="B19" s="48" t="s">
        <v>13</v>
      </c>
      <c r="C19" s="48"/>
      <c r="D19" s="48"/>
      <c r="E19" s="48"/>
      <c r="F19" s="48"/>
      <c r="G19" s="48"/>
      <c r="H19" s="48"/>
      <c r="I19" s="22">
        <v>10225.83762392437</v>
      </c>
      <c r="J19" s="36">
        <f>184.08+337.54+1411.28+1964.5</f>
        <v>3897.4</v>
      </c>
      <c r="K19" s="38">
        <f t="shared" si="0"/>
        <v>0.3811325921</v>
      </c>
    </row>
    <row r="20" spans="1:11" ht="15.75" thickBot="1" x14ac:dyDescent="0.3">
      <c r="A20" s="11" t="s">
        <v>14</v>
      </c>
      <c r="B20" s="48" t="s">
        <v>15</v>
      </c>
      <c r="C20" s="48"/>
      <c r="D20" s="48"/>
      <c r="E20" s="48"/>
      <c r="F20" s="48"/>
      <c r="G20" s="48"/>
      <c r="H20" s="48"/>
      <c r="I20" s="22">
        <v>2556.4594059810925</v>
      </c>
      <c r="J20" s="36">
        <f>813.95+541.28</f>
        <v>1355.23</v>
      </c>
      <c r="K20" s="38">
        <f t="shared" si="0"/>
        <v>0.53011989818000005</v>
      </c>
    </row>
    <row r="21" spans="1:11" ht="15.75" thickBot="1" x14ac:dyDescent="0.3">
      <c r="A21" s="11" t="s">
        <v>16</v>
      </c>
      <c r="B21" s="48" t="s">
        <v>17</v>
      </c>
      <c r="C21" s="48"/>
      <c r="D21" s="48"/>
      <c r="E21" s="48"/>
      <c r="F21" s="48"/>
      <c r="G21" s="48"/>
      <c r="H21" s="48"/>
      <c r="I21" s="22">
        <v>6135.5025743546221</v>
      </c>
      <c r="J21" s="36">
        <f>3475.44+2+268</f>
        <v>3745.44</v>
      </c>
      <c r="K21" s="38">
        <f t="shared" si="0"/>
        <v>0.61045365959999998</v>
      </c>
    </row>
    <row r="22" spans="1:11" ht="15.75" thickBot="1" x14ac:dyDescent="0.3">
      <c r="A22" s="11" t="s">
        <v>18</v>
      </c>
      <c r="B22" s="48" t="s">
        <v>19</v>
      </c>
      <c r="C22" s="48"/>
      <c r="D22" s="48"/>
      <c r="E22" s="48"/>
      <c r="F22" s="48"/>
      <c r="G22" s="48"/>
      <c r="H22" s="48"/>
      <c r="I22" s="22">
        <v>8691.9619803357145</v>
      </c>
      <c r="J22" s="36">
        <f>83.11+2261.99+982.09+1205.92+102.25+37.47+812.04</f>
        <v>5484.8700000000008</v>
      </c>
      <c r="K22" s="38">
        <f t="shared" si="0"/>
        <v>0.63102784071176476</v>
      </c>
    </row>
    <row r="23" spans="1:11" ht="15.75" thickBot="1" x14ac:dyDescent="0.3">
      <c r="A23" s="17" t="s">
        <v>34</v>
      </c>
      <c r="B23" s="47" t="s">
        <v>20</v>
      </c>
      <c r="C23" s="47"/>
      <c r="D23" s="47"/>
      <c r="E23" s="47"/>
      <c r="F23" s="47"/>
      <c r="G23" s="47"/>
      <c r="H23" s="47"/>
      <c r="I23" s="23">
        <v>35023.493861940966</v>
      </c>
      <c r="J23" s="37">
        <f>SUM(J24:J26)</f>
        <v>17819.810000000001</v>
      </c>
      <c r="K23" s="38">
        <f t="shared" si="0"/>
        <v>0.50879589769781031</v>
      </c>
    </row>
    <row r="24" spans="1:11" ht="15.75" thickBot="1" x14ac:dyDescent="0.3">
      <c r="A24" s="11" t="s">
        <v>21</v>
      </c>
      <c r="B24" s="46" t="s">
        <v>22</v>
      </c>
      <c r="C24" s="46"/>
      <c r="D24" s="46"/>
      <c r="E24" s="46"/>
      <c r="F24" s="46"/>
      <c r="G24" s="46"/>
      <c r="H24" s="46"/>
      <c r="I24" s="22">
        <v>30677.51287177311</v>
      </c>
      <c r="J24" s="36">
        <f>6071.56+1462.81+9686.5</f>
        <v>17220.870000000003</v>
      </c>
      <c r="K24" s="38">
        <f t="shared" si="0"/>
        <v>0.56135156953500009</v>
      </c>
    </row>
    <row r="25" spans="1:11" ht="15.75" thickBot="1" x14ac:dyDescent="0.3">
      <c r="A25" s="11" t="s">
        <v>23</v>
      </c>
      <c r="B25" s="46" t="s">
        <v>24</v>
      </c>
      <c r="C25" s="46"/>
      <c r="D25" s="46"/>
      <c r="E25" s="46"/>
      <c r="F25" s="46"/>
      <c r="G25" s="46"/>
      <c r="H25" s="46"/>
      <c r="I25" s="22">
        <v>2045.1675247848739</v>
      </c>
      <c r="J25" s="36">
        <v>598.94000000000005</v>
      </c>
      <c r="K25" s="38">
        <f t="shared" si="0"/>
        <v>0.29285620505000004</v>
      </c>
    </row>
    <row r="26" spans="1:11" ht="15.75" thickBot="1" x14ac:dyDescent="0.3">
      <c r="A26" s="11" t="s">
        <v>88</v>
      </c>
      <c r="B26" s="44" t="s">
        <v>121</v>
      </c>
      <c r="C26" s="44"/>
      <c r="D26" s="44"/>
      <c r="E26" s="44"/>
      <c r="F26" s="44"/>
      <c r="G26" s="44"/>
      <c r="H26" s="44"/>
      <c r="I26" s="22">
        <v>2300.8134653829834</v>
      </c>
      <c r="J26" s="36"/>
      <c r="K26" s="38">
        <f t="shared" si="0"/>
        <v>0</v>
      </c>
    </row>
    <row r="27" spans="1:11" ht="15.75" thickBot="1" x14ac:dyDescent="0.3">
      <c r="A27" s="17" t="s">
        <v>35</v>
      </c>
      <c r="B27" s="47" t="s">
        <v>25</v>
      </c>
      <c r="C27" s="47"/>
      <c r="D27" s="47"/>
      <c r="E27" s="47"/>
      <c r="F27" s="47"/>
      <c r="G27" s="47"/>
      <c r="H27" s="47"/>
      <c r="I27" s="23">
        <v>86919.619803357142</v>
      </c>
      <c r="J27" s="37">
        <f>71420.33-2391.44-695.81</f>
        <v>68333.08</v>
      </c>
      <c r="K27" s="38">
        <f t="shared" si="0"/>
        <v>0.78616404621411773</v>
      </c>
    </row>
    <row r="28" spans="1:11" ht="15.75" thickBot="1" x14ac:dyDescent="0.3">
      <c r="A28" s="17" t="s">
        <v>36</v>
      </c>
      <c r="B28" s="47" t="s">
        <v>26</v>
      </c>
      <c r="C28" s="47"/>
      <c r="D28" s="47"/>
      <c r="E28" s="47"/>
      <c r="F28" s="47"/>
      <c r="G28" s="47"/>
      <c r="H28" s="47"/>
      <c r="I28" s="23">
        <v>12782.297029905463</v>
      </c>
      <c r="J28" s="37">
        <f>2364.2-52.67+1357.71-288.83</f>
        <v>3380.41</v>
      </c>
      <c r="K28" s="38">
        <f t="shared" si="0"/>
        <v>0.26446029161199996</v>
      </c>
    </row>
    <row r="29" spans="1:11" ht="15.75" thickBot="1" x14ac:dyDescent="0.3">
      <c r="A29" s="17" t="s">
        <v>37</v>
      </c>
      <c r="B29" s="47" t="s">
        <v>27</v>
      </c>
      <c r="C29" s="47"/>
      <c r="D29" s="47"/>
      <c r="E29" s="47"/>
      <c r="F29" s="47"/>
      <c r="G29" s="47"/>
      <c r="H29" s="47"/>
      <c r="I29" s="23">
        <v>1533.8756435886555</v>
      </c>
      <c r="J29" s="37">
        <f>374.69+35.7</f>
        <v>410.39</v>
      </c>
      <c r="K29" s="38">
        <f t="shared" si="0"/>
        <v>0.26755102456666663</v>
      </c>
    </row>
    <row r="30" spans="1:11" ht="15.75" thickBot="1" x14ac:dyDescent="0.3">
      <c r="A30" s="17" t="s">
        <v>38</v>
      </c>
      <c r="B30" s="47" t="s">
        <v>120</v>
      </c>
      <c r="C30" s="47"/>
      <c r="D30" s="47"/>
      <c r="E30" s="47"/>
      <c r="F30" s="47"/>
      <c r="G30" s="47"/>
      <c r="H30" s="47"/>
      <c r="I30" s="23">
        <v>20451.67524784874</v>
      </c>
      <c r="J30" s="37">
        <f>6044.61+796.62+3174.7+1108.17-954.07</f>
        <v>10170.030000000001</v>
      </c>
      <c r="K30" s="38">
        <f t="shared" si="0"/>
        <v>0.49727124437250003</v>
      </c>
    </row>
    <row r="31" spans="1:11" ht="15.75" thickBot="1" x14ac:dyDescent="0.3">
      <c r="A31" s="17" t="s">
        <v>39</v>
      </c>
      <c r="B31" s="47" t="s">
        <v>126</v>
      </c>
      <c r="C31" s="47"/>
      <c r="D31" s="47"/>
      <c r="E31" s="47"/>
      <c r="F31" s="47"/>
      <c r="G31" s="47"/>
      <c r="H31" s="47"/>
      <c r="I31" s="23">
        <v>15338.756435886555</v>
      </c>
      <c r="J31" s="37"/>
      <c r="K31" s="38">
        <f t="shared" si="0"/>
        <v>0</v>
      </c>
    </row>
    <row r="32" spans="1:11" ht="15.75" thickBot="1" x14ac:dyDescent="0.3">
      <c r="A32" s="21"/>
      <c r="B32" s="48"/>
      <c r="C32" s="48"/>
      <c r="D32" s="48"/>
      <c r="E32" s="48"/>
      <c r="F32" s="48"/>
      <c r="G32" s="48"/>
      <c r="H32" s="48"/>
      <c r="I32" s="22"/>
      <c r="J32" s="36"/>
      <c r="K32" s="38"/>
    </row>
    <row r="33" spans="1:12" ht="15.75" thickBot="1" x14ac:dyDescent="0.3">
      <c r="A33" s="11"/>
      <c r="B33" s="45" t="s">
        <v>28</v>
      </c>
      <c r="C33" s="45"/>
      <c r="D33" s="45"/>
      <c r="E33" s="45"/>
      <c r="F33" s="45"/>
      <c r="G33" s="45"/>
      <c r="H33" s="45"/>
      <c r="I33" s="18">
        <f>SUM(I7+I11+I12+I13+I17+I23+I27+I28+I29+I30+I31)</f>
        <v>1394037.3140814898</v>
      </c>
      <c r="J33" s="27">
        <f>SUM(J7+J11+J12+J13+J17+J23+J27+J28+J29+J30+J31)</f>
        <v>693963.66000000015</v>
      </c>
      <c r="K33" s="38">
        <f t="shared" si="0"/>
        <v>0.49780852563278938</v>
      </c>
      <c r="L33" s="3"/>
    </row>
    <row r="34" spans="1:12" ht="15.75" thickBot="1" x14ac:dyDescent="0.3">
      <c r="A34" s="14"/>
      <c r="B34" s="40" t="s">
        <v>41</v>
      </c>
      <c r="C34" s="40"/>
      <c r="D34" s="40"/>
      <c r="E34" s="40"/>
      <c r="F34" s="40"/>
      <c r="G34" s="40"/>
      <c r="H34" s="40"/>
      <c r="I34" s="18">
        <v>1394037.3140814898</v>
      </c>
      <c r="J34" s="27">
        <f>Разходи!J63</f>
        <v>559803.4</v>
      </c>
      <c r="K34" s="38">
        <f t="shared" si="0"/>
        <v>0.40156988220135703</v>
      </c>
      <c r="L34" s="4"/>
    </row>
    <row r="35" spans="1:12" ht="15.75" thickBot="1" x14ac:dyDescent="0.3">
      <c r="A35" s="41" t="s">
        <v>130</v>
      </c>
      <c r="B35" s="42"/>
      <c r="C35" s="42"/>
      <c r="D35" s="42"/>
      <c r="E35" s="42"/>
      <c r="F35" s="42"/>
      <c r="G35" s="42"/>
      <c r="H35" s="43"/>
      <c r="I35" s="7">
        <f>I33-I34</f>
        <v>0</v>
      </c>
      <c r="J35" s="27">
        <f>J33-J34</f>
        <v>134160.26000000013</v>
      </c>
      <c r="K35" s="39"/>
    </row>
  </sheetData>
  <mergeCells count="34">
    <mergeCell ref="A4:H4"/>
    <mergeCell ref="A5:H5"/>
    <mergeCell ref="A3:I3"/>
    <mergeCell ref="A2:I2"/>
    <mergeCell ref="B14:H14"/>
    <mergeCell ref="A6:H6"/>
    <mergeCell ref="B7:H7"/>
    <mergeCell ref="B8:H8"/>
    <mergeCell ref="B9:H9"/>
    <mergeCell ref="B11:H11"/>
    <mergeCell ref="B10:H10"/>
    <mergeCell ref="B18:H18"/>
    <mergeCell ref="B19:H19"/>
    <mergeCell ref="B12:H12"/>
    <mergeCell ref="B24:H24"/>
    <mergeCell ref="B13:H13"/>
    <mergeCell ref="B20:H20"/>
    <mergeCell ref="B21:H21"/>
    <mergeCell ref="B22:H22"/>
    <mergeCell ref="B23:H23"/>
    <mergeCell ref="B15:H15"/>
    <mergeCell ref="B16:H16"/>
    <mergeCell ref="B17:H17"/>
    <mergeCell ref="B34:H34"/>
    <mergeCell ref="A35:H35"/>
    <mergeCell ref="B26:H26"/>
    <mergeCell ref="B33:H33"/>
    <mergeCell ref="B25:H25"/>
    <mergeCell ref="B27:H27"/>
    <mergeCell ref="B28:H28"/>
    <mergeCell ref="B29:H29"/>
    <mergeCell ref="B30:H30"/>
    <mergeCell ref="B31:H31"/>
    <mergeCell ref="B32:H32"/>
  </mergeCells>
  <conditionalFormatting sqref="K7:K31 K33:K34">
    <cfRule type="cellIs" dxfId="1" priority="1" operator="greaterThan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5"/>
  <sheetViews>
    <sheetView topLeftCell="A28" zoomScale="120" zoomScaleNormal="120" workbookViewId="0">
      <selection activeCell="R31" sqref="R31"/>
    </sheetView>
  </sheetViews>
  <sheetFormatPr defaultColWidth="9.140625" defaultRowHeight="15" x14ac:dyDescent="0.25"/>
  <cols>
    <col min="1" max="1" width="7.7109375" style="2" customWidth="1"/>
    <col min="2" max="8" width="9.140625" style="2"/>
    <col min="9" max="9" width="17.28515625" style="6" bestFit="1" customWidth="1"/>
    <col min="10" max="10" width="16.85546875" style="2" customWidth="1"/>
    <col min="11" max="11" width="10.5703125" style="2" customWidth="1"/>
    <col min="12" max="16384" width="9.140625" style="2"/>
  </cols>
  <sheetData>
    <row r="1" spans="1:13" ht="15.75" thickBot="1" x14ac:dyDescent="0.3"/>
    <row r="2" spans="1:13" ht="15.75" thickBot="1" x14ac:dyDescent="0.3">
      <c r="A2" s="61" t="s">
        <v>138</v>
      </c>
      <c r="B2" s="61"/>
      <c r="C2" s="61"/>
      <c r="D2" s="61"/>
      <c r="E2" s="61"/>
      <c r="F2" s="61"/>
      <c r="G2" s="61"/>
      <c r="H2" s="61"/>
      <c r="I2" s="61"/>
    </row>
    <row r="3" spans="1:13" ht="15.75" thickBot="1" x14ac:dyDescent="0.3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13" ht="75.75" thickBot="1" x14ac:dyDescent="0.3">
      <c r="A4" s="61" t="s">
        <v>102</v>
      </c>
      <c r="B4" s="61"/>
      <c r="C4" s="61"/>
      <c r="D4" s="61"/>
      <c r="E4" s="61"/>
      <c r="F4" s="61"/>
      <c r="G4" s="61"/>
      <c r="H4" s="61"/>
      <c r="I4" s="10" t="s">
        <v>146</v>
      </c>
      <c r="J4" s="10" t="s">
        <v>150</v>
      </c>
      <c r="K4" s="35" t="s">
        <v>149</v>
      </c>
      <c r="L4" s="25"/>
    </row>
    <row r="5" spans="1:13" ht="15.75" thickBot="1" x14ac:dyDescent="0.3">
      <c r="A5" s="58" t="s">
        <v>128</v>
      </c>
      <c r="B5" s="58"/>
      <c r="C5" s="58"/>
      <c r="D5" s="58"/>
      <c r="E5" s="58"/>
      <c r="F5" s="58"/>
      <c r="G5" s="58"/>
      <c r="H5" s="58"/>
      <c r="I5" s="10"/>
      <c r="J5" s="10"/>
      <c r="K5" s="33"/>
    </row>
    <row r="6" spans="1:13" ht="33" customHeight="1" thickBot="1" x14ac:dyDescent="0.3">
      <c r="A6" s="17" t="s">
        <v>29</v>
      </c>
      <c r="B6" s="47" t="s">
        <v>133</v>
      </c>
      <c r="C6" s="47"/>
      <c r="D6" s="47"/>
      <c r="E6" s="47"/>
      <c r="F6" s="47"/>
      <c r="G6" s="47"/>
      <c r="H6" s="47"/>
      <c r="I6" s="8">
        <v>232637.80594427942</v>
      </c>
      <c r="J6" s="30">
        <f>SUM(J7)</f>
        <v>108262.37</v>
      </c>
      <c r="K6" s="34">
        <f>J6/I6</f>
        <v>0.46536877168593405</v>
      </c>
    </row>
    <row r="7" spans="1:13" ht="15.75" thickBot="1" x14ac:dyDescent="0.3">
      <c r="A7" s="11" t="s">
        <v>2</v>
      </c>
      <c r="B7" s="46" t="s">
        <v>101</v>
      </c>
      <c r="C7" s="46"/>
      <c r="D7" s="46"/>
      <c r="E7" s="46"/>
      <c r="F7" s="46"/>
      <c r="G7" s="46"/>
      <c r="H7" s="46"/>
      <c r="I7" s="12">
        <v>232637.80594427942</v>
      </c>
      <c r="J7" s="31">
        <f>52186.93+56075.44</f>
        <v>108262.37</v>
      </c>
      <c r="K7" s="34">
        <f t="shared" ref="K7:K64" si="0">J7/I7</f>
        <v>0.46536877168593405</v>
      </c>
    </row>
    <row r="8" spans="1:13" ht="15.75" thickBot="1" x14ac:dyDescent="0.3">
      <c r="A8" s="17" t="s">
        <v>30</v>
      </c>
      <c r="B8" s="47" t="s">
        <v>100</v>
      </c>
      <c r="C8" s="47"/>
      <c r="D8" s="47"/>
      <c r="E8" s="47"/>
      <c r="F8" s="47"/>
      <c r="G8" s="47"/>
      <c r="H8" s="47"/>
      <c r="I8" s="8">
        <v>26587.177822203361</v>
      </c>
      <c r="J8" s="30">
        <f>SUM(J9:J11)</f>
        <v>12011</v>
      </c>
      <c r="K8" s="34">
        <f t="shared" si="0"/>
        <v>0.45175911788461537</v>
      </c>
    </row>
    <row r="9" spans="1:13" ht="15.75" thickBot="1" x14ac:dyDescent="0.3">
      <c r="A9" s="11" t="s">
        <v>99</v>
      </c>
      <c r="B9" s="46" t="s">
        <v>98</v>
      </c>
      <c r="C9" s="46"/>
      <c r="D9" s="46"/>
      <c r="E9" s="46"/>
      <c r="F9" s="46"/>
      <c r="G9" s="46"/>
      <c r="H9" s="46"/>
      <c r="I9" s="12">
        <v>23008.134653829831</v>
      </c>
      <c r="J9" s="31">
        <f>5205.62+5794.08</f>
        <v>10999.7</v>
      </c>
      <c r="K9" s="34">
        <f t="shared" si="0"/>
        <v>0.47807873891111113</v>
      </c>
    </row>
    <row r="10" spans="1:13" ht="15.75" thickBot="1" x14ac:dyDescent="0.3">
      <c r="A10" s="11" t="s">
        <v>97</v>
      </c>
      <c r="B10" s="46" t="s">
        <v>118</v>
      </c>
      <c r="C10" s="46"/>
      <c r="D10" s="46"/>
      <c r="E10" s="46"/>
      <c r="F10" s="46"/>
      <c r="G10" s="46"/>
      <c r="H10" s="46"/>
      <c r="I10" s="12">
        <v>2556.4594059810925</v>
      </c>
      <c r="J10" s="31">
        <f>446.5+212</f>
        <v>658.5</v>
      </c>
      <c r="K10" s="34">
        <f t="shared" si="0"/>
        <v>0.25758281100000002</v>
      </c>
    </row>
    <row r="11" spans="1:13" ht="15.75" thickBot="1" x14ac:dyDescent="0.3">
      <c r="A11" s="11" t="s">
        <v>96</v>
      </c>
      <c r="B11" s="46" t="s">
        <v>95</v>
      </c>
      <c r="C11" s="46"/>
      <c r="D11" s="46"/>
      <c r="E11" s="46"/>
      <c r="F11" s="46"/>
      <c r="G11" s="46"/>
      <c r="H11" s="46"/>
      <c r="I11" s="12">
        <v>1022.5837623924369</v>
      </c>
      <c r="J11" s="31">
        <f>235.2+117.6</f>
        <v>352.79999999999995</v>
      </c>
      <c r="K11" s="34">
        <f t="shared" si="0"/>
        <v>0.34500841199999999</v>
      </c>
    </row>
    <row r="12" spans="1:13" ht="15.75" thickBot="1" x14ac:dyDescent="0.3">
      <c r="A12" s="17" t="s">
        <v>31</v>
      </c>
      <c r="B12" s="47" t="s">
        <v>145</v>
      </c>
      <c r="C12" s="47"/>
      <c r="D12" s="47"/>
      <c r="E12" s="47"/>
      <c r="F12" s="47"/>
      <c r="G12" s="47"/>
      <c r="H12" s="47"/>
      <c r="I12" s="8">
        <v>51129.188119621853</v>
      </c>
      <c r="J12" s="30">
        <f>3401.52+276.1+200+5566.13</f>
        <v>9443.75</v>
      </c>
      <c r="K12" s="34">
        <f t="shared" si="0"/>
        <v>0.184703695625</v>
      </c>
    </row>
    <row r="13" spans="1:13" ht="15.75" thickBot="1" x14ac:dyDescent="0.3">
      <c r="A13" s="17" t="s">
        <v>32</v>
      </c>
      <c r="B13" s="47" t="s">
        <v>124</v>
      </c>
      <c r="C13" s="47"/>
      <c r="D13" s="47"/>
      <c r="E13" s="47"/>
      <c r="F13" s="47"/>
      <c r="G13" s="47"/>
      <c r="H13" s="47"/>
      <c r="I13" s="8">
        <v>13293.58891110168</v>
      </c>
      <c r="J13" s="30">
        <f>SUM(J14:J15)</f>
        <v>1084.48</v>
      </c>
      <c r="K13" s="34">
        <f t="shared" si="0"/>
        <v>8.1579173784615391E-2</v>
      </c>
      <c r="M13" s="2" t="s">
        <v>139</v>
      </c>
    </row>
    <row r="14" spans="1:13" ht="15.75" thickBot="1" x14ac:dyDescent="0.3">
      <c r="A14" s="11" t="s">
        <v>5</v>
      </c>
      <c r="B14" s="46" t="s">
        <v>94</v>
      </c>
      <c r="C14" s="46"/>
      <c r="D14" s="46"/>
      <c r="E14" s="46"/>
      <c r="F14" s="46"/>
      <c r="G14" s="46"/>
      <c r="H14" s="46"/>
      <c r="I14" s="12">
        <v>2556.4594059810925</v>
      </c>
      <c r="J14" s="31">
        <f>412.43+526.85</f>
        <v>939.28</v>
      </c>
      <c r="K14" s="34">
        <f t="shared" si="0"/>
        <v>0.36741440047999996</v>
      </c>
    </row>
    <row r="15" spans="1:13" ht="15.75" thickBot="1" x14ac:dyDescent="0.3">
      <c r="A15" s="11" t="s">
        <v>6</v>
      </c>
      <c r="B15" s="46" t="s">
        <v>93</v>
      </c>
      <c r="C15" s="46"/>
      <c r="D15" s="46"/>
      <c r="E15" s="46"/>
      <c r="F15" s="46"/>
      <c r="G15" s="46"/>
      <c r="H15" s="46"/>
      <c r="I15" s="12">
        <v>10737.129505120589</v>
      </c>
      <c r="J15" s="31">
        <v>145.19999999999999</v>
      </c>
      <c r="K15" s="34">
        <f t="shared" si="0"/>
        <v>1.3523167428571427E-2</v>
      </c>
    </row>
    <row r="16" spans="1:13" ht="15.75" thickBot="1" x14ac:dyDescent="0.3">
      <c r="A16" s="17" t="s">
        <v>33</v>
      </c>
      <c r="B16" s="47" t="s">
        <v>92</v>
      </c>
      <c r="C16" s="47"/>
      <c r="D16" s="47"/>
      <c r="E16" s="47"/>
      <c r="F16" s="47"/>
      <c r="G16" s="47"/>
      <c r="H16" s="47"/>
      <c r="I16" s="8">
        <v>69024.403961489501</v>
      </c>
      <c r="J16" s="30">
        <f>SUM(J17:J18)</f>
        <v>33341.090000000004</v>
      </c>
      <c r="K16" s="34">
        <f t="shared" si="0"/>
        <v>0.48303336336814817</v>
      </c>
    </row>
    <row r="17" spans="1:11" ht="15.75" thickBot="1" x14ac:dyDescent="0.3">
      <c r="A17" s="11" t="s">
        <v>10</v>
      </c>
      <c r="B17" s="46" t="s">
        <v>91</v>
      </c>
      <c r="C17" s="46"/>
      <c r="D17" s="46"/>
      <c r="E17" s="46"/>
      <c r="F17" s="46"/>
      <c r="G17" s="46"/>
      <c r="H17" s="46"/>
      <c r="I17" s="12">
        <v>40392.058614501264</v>
      </c>
      <c r="J17" s="31">
        <f>9237.25+9237.15</f>
        <v>18474.400000000001</v>
      </c>
      <c r="K17" s="34">
        <f t="shared" si="0"/>
        <v>0.45737703483544301</v>
      </c>
    </row>
    <row r="18" spans="1:11" ht="15.75" thickBot="1" x14ac:dyDescent="0.3">
      <c r="A18" s="11" t="s">
        <v>12</v>
      </c>
      <c r="B18" s="46" t="s">
        <v>129</v>
      </c>
      <c r="C18" s="46"/>
      <c r="D18" s="46"/>
      <c r="E18" s="46"/>
      <c r="F18" s="46"/>
      <c r="G18" s="46"/>
      <c r="H18" s="46"/>
      <c r="I18" s="12">
        <v>28632.345346988237</v>
      </c>
      <c r="J18" s="31">
        <f>2684.35+12182.34</f>
        <v>14866.69</v>
      </c>
      <c r="K18" s="34">
        <f t="shared" si="0"/>
        <v>0.5192271125482143</v>
      </c>
    </row>
    <row r="19" spans="1:11" ht="15.75" thickBot="1" x14ac:dyDescent="0.3">
      <c r="A19" s="17" t="s">
        <v>34</v>
      </c>
      <c r="B19" s="47" t="s">
        <v>90</v>
      </c>
      <c r="C19" s="47"/>
      <c r="D19" s="47"/>
      <c r="E19" s="47"/>
      <c r="F19" s="47"/>
      <c r="G19" s="47"/>
      <c r="H19" s="47"/>
      <c r="I19" s="8">
        <v>53685.647525602944</v>
      </c>
      <c r="J19" s="30">
        <f>SUM(J20:J22)</f>
        <v>27038.07</v>
      </c>
      <c r="K19" s="34">
        <f t="shared" si="0"/>
        <v>0.50363684236285711</v>
      </c>
    </row>
    <row r="20" spans="1:11" ht="15.75" thickBot="1" x14ac:dyDescent="0.3">
      <c r="A20" s="11" t="s">
        <v>21</v>
      </c>
      <c r="B20" s="46" t="s">
        <v>89</v>
      </c>
      <c r="C20" s="46"/>
      <c r="D20" s="46"/>
      <c r="E20" s="46"/>
      <c r="F20" s="46"/>
      <c r="G20" s="46"/>
      <c r="H20" s="46"/>
      <c r="I20" s="12">
        <v>28121.053465792018</v>
      </c>
      <c r="J20" s="31">
        <f>3009.23+5225.39+10318.98+230.08</f>
        <v>18783.68</v>
      </c>
      <c r="K20" s="34">
        <f t="shared" si="0"/>
        <v>0.6679579064436364</v>
      </c>
    </row>
    <row r="21" spans="1:11" ht="15.75" thickBot="1" x14ac:dyDescent="0.3">
      <c r="A21" s="11" t="s">
        <v>23</v>
      </c>
      <c r="B21" s="46" t="s">
        <v>115</v>
      </c>
      <c r="C21" s="46"/>
      <c r="D21" s="46"/>
      <c r="E21" s="46"/>
      <c r="F21" s="46"/>
      <c r="G21" s="46"/>
      <c r="H21" s="46"/>
      <c r="I21" s="12">
        <v>10225.83762392437</v>
      </c>
      <c r="J21" s="31">
        <f>749.85+216.34+3838.2</f>
        <v>4804.3899999999994</v>
      </c>
      <c r="K21" s="34">
        <f t="shared" si="0"/>
        <v>0.46982850468499993</v>
      </c>
    </row>
    <row r="22" spans="1:11" ht="15.75" thickBot="1" x14ac:dyDescent="0.3">
      <c r="A22" s="11" t="s">
        <v>88</v>
      </c>
      <c r="B22" s="46" t="s">
        <v>87</v>
      </c>
      <c r="C22" s="46"/>
      <c r="D22" s="46"/>
      <c r="E22" s="46"/>
      <c r="F22" s="46"/>
      <c r="G22" s="46"/>
      <c r="H22" s="46"/>
      <c r="I22" s="12">
        <v>15338.756435886555</v>
      </c>
      <c r="J22" s="31">
        <f>3000+450</f>
        <v>3450</v>
      </c>
      <c r="K22" s="34">
        <f t="shared" si="0"/>
        <v>0.22492044999999999</v>
      </c>
    </row>
    <row r="23" spans="1:11" ht="31.15" customHeight="1" thickBot="1" x14ac:dyDescent="0.3">
      <c r="A23" s="17" t="s">
        <v>35</v>
      </c>
      <c r="B23" s="47" t="s">
        <v>86</v>
      </c>
      <c r="C23" s="47"/>
      <c r="D23" s="47"/>
      <c r="E23" s="47"/>
      <c r="F23" s="47"/>
      <c r="G23" s="47"/>
      <c r="H23" s="47"/>
      <c r="I23" s="8">
        <v>23519.42653502605</v>
      </c>
      <c r="J23" s="30">
        <f>SUM(J24:J25)</f>
        <v>8280</v>
      </c>
      <c r="K23" s="34">
        <f t="shared" si="0"/>
        <v>0.35204940000000001</v>
      </c>
    </row>
    <row r="24" spans="1:11" ht="15.75" thickBot="1" x14ac:dyDescent="0.3">
      <c r="A24" s="11" t="s">
        <v>85</v>
      </c>
      <c r="B24" s="60" t="s">
        <v>84</v>
      </c>
      <c r="C24" s="60"/>
      <c r="D24" s="60"/>
      <c r="E24" s="60"/>
      <c r="F24" s="60"/>
      <c r="G24" s="60"/>
      <c r="H24" s="60"/>
      <c r="I24" s="12">
        <v>7669.3782179432774</v>
      </c>
      <c r="J24" s="31">
        <f>2600+1000</f>
        <v>3600</v>
      </c>
      <c r="K24" s="34">
        <f t="shared" si="0"/>
        <v>0.46939920000000002</v>
      </c>
    </row>
    <row r="25" spans="1:11" ht="15.75" thickBot="1" x14ac:dyDescent="0.3">
      <c r="A25" s="11" t="s">
        <v>83</v>
      </c>
      <c r="B25" s="60" t="s">
        <v>82</v>
      </c>
      <c r="C25" s="60"/>
      <c r="D25" s="60"/>
      <c r="E25" s="60"/>
      <c r="F25" s="60"/>
      <c r="G25" s="60"/>
      <c r="H25" s="60"/>
      <c r="I25" s="12">
        <v>15850.048317082774</v>
      </c>
      <c r="J25" s="31">
        <f>2340+2340</f>
        <v>4680</v>
      </c>
      <c r="K25" s="34">
        <f t="shared" si="0"/>
        <v>0.29526723870967742</v>
      </c>
    </row>
    <row r="26" spans="1:11" ht="15.75" thickBot="1" x14ac:dyDescent="0.3">
      <c r="A26" s="17" t="s">
        <v>36</v>
      </c>
      <c r="B26" s="47" t="s">
        <v>116</v>
      </c>
      <c r="C26" s="47"/>
      <c r="D26" s="47"/>
      <c r="E26" s="47"/>
      <c r="F26" s="47"/>
      <c r="G26" s="47"/>
      <c r="H26" s="47"/>
      <c r="I26" s="8">
        <v>92032.538615319325</v>
      </c>
      <c r="J26" s="30">
        <f>807.7+1400.83+17349.71+816.95+8156.31+165.66+666.71+1120.2+6031.95+16779.24</f>
        <v>53295.259999999995</v>
      </c>
      <c r="K26" s="34">
        <f t="shared" si="0"/>
        <v>0.57909149092111112</v>
      </c>
    </row>
    <row r="27" spans="1:11" ht="15.75" thickBot="1" x14ac:dyDescent="0.3">
      <c r="A27" s="17" t="s">
        <v>37</v>
      </c>
      <c r="B27" s="47" t="s">
        <v>81</v>
      </c>
      <c r="C27" s="47"/>
      <c r="D27" s="47"/>
      <c r="E27" s="47"/>
      <c r="F27" s="47"/>
      <c r="G27" s="47"/>
      <c r="H27" s="47"/>
      <c r="I27" s="8">
        <v>10225.83762392437</v>
      </c>
      <c r="J27" s="30"/>
      <c r="K27" s="34">
        <f t="shared" si="0"/>
        <v>0</v>
      </c>
    </row>
    <row r="28" spans="1:11" ht="15.75" thickBot="1" x14ac:dyDescent="0.3">
      <c r="A28" s="17" t="s">
        <v>38</v>
      </c>
      <c r="B28" s="47" t="s">
        <v>80</v>
      </c>
      <c r="C28" s="47"/>
      <c r="D28" s="47"/>
      <c r="E28" s="47"/>
      <c r="F28" s="47"/>
      <c r="G28" s="47"/>
      <c r="H28" s="47"/>
      <c r="I28" s="8">
        <v>12782.297029905463</v>
      </c>
      <c r="J28" s="30">
        <v>10862.82</v>
      </c>
      <c r="K28" s="34">
        <f t="shared" si="0"/>
        <v>0.84983316962399991</v>
      </c>
    </row>
    <row r="29" spans="1:11" ht="15.75" thickBot="1" x14ac:dyDescent="0.3">
      <c r="A29" s="17" t="s">
        <v>39</v>
      </c>
      <c r="B29" s="47" t="s">
        <v>143</v>
      </c>
      <c r="C29" s="47"/>
      <c r="D29" s="47"/>
      <c r="E29" s="47"/>
      <c r="F29" s="47"/>
      <c r="G29" s="47"/>
      <c r="H29" s="47"/>
      <c r="I29" s="8">
        <v>25564.594059810926</v>
      </c>
      <c r="J29" s="30">
        <f>SUM(J30:J31)</f>
        <v>1470</v>
      </c>
      <c r="K29" s="34">
        <f t="shared" si="0"/>
        <v>5.7501401999999993E-2</v>
      </c>
    </row>
    <row r="30" spans="1:11" ht="15.75" thickBot="1" x14ac:dyDescent="0.3">
      <c r="A30" s="11" t="s">
        <v>79</v>
      </c>
      <c r="B30" s="60" t="s">
        <v>78</v>
      </c>
      <c r="C30" s="60"/>
      <c r="D30" s="60"/>
      <c r="E30" s="60"/>
      <c r="F30" s="60"/>
      <c r="G30" s="60"/>
      <c r="H30" s="60"/>
      <c r="I30" s="12">
        <v>5112.9188119621849</v>
      </c>
      <c r="J30" s="31">
        <v>1020</v>
      </c>
      <c r="K30" s="34">
        <f t="shared" si="0"/>
        <v>0.19949465999999999</v>
      </c>
    </row>
    <row r="31" spans="1:11" ht="15.75" thickBot="1" x14ac:dyDescent="0.3">
      <c r="A31" s="11" t="s">
        <v>77</v>
      </c>
      <c r="B31" s="60" t="s">
        <v>132</v>
      </c>
      <c r="C31" s="60"/>
      <c r="D31" s="60"/>
      <c r="E31" s="60"/>
      <c r="F31" s="60"/>
      <c r="G31" s="60"/>
      <c r="H31" s="60"/>
      <c r="I31" s="12">
        <v>20451.67524784874</v>
      </c>
      <c r="J31" s="31">
        <v>450</v>
      </c>
      <c r="K31" s="34">
        <f t="shared" si="0"/>
        <v>2.2003087500000001E-2</v>
      </c>
    </row>
    <row r="32" spans="1:11" ht="15.75" thickBot="1" x14ac:dyDescent="0.3">
      <c r="A32" s="17" t="s">
        <v>40</v>
      </c>
      <c r="B32" s="47" t="s">
        <v>76</v>
      </c>
      <c r="C32" s="47"/>
      <c r="D32" s="47"/>
      <c r="E32" s="47"/>
      <c r="F32" s="47"/>
      <c r="G32" s="47"/>
      <c r="H32" s="47"/>
      <c r="I32" s="8">
        <v>53174.355644406722</v>
      </c>
      <c r="J32" s="30">
        <f>25308.94+20247.16</f>
        <v>45556.1</v>
      </c>
      <c r="K32" s="34">
        <f t="shared" si="0"/>
        <v>0.85673064483653849</v>
      </c>
    </row>
    <row r="33" spans="1:11" ht="30" customHeight="1" thickBot="1" x14ac:dyDescent="0.3">
      <c r="A33" s="17" t="s">
        <v>114</v>
      </c>
      <c r="B33" s="47" t="s">
        <v>75</v>
      </c>
      <c r="C33" s="47"/>
      <c r="D33" s="47"/>
      <c r="E33" s="47"/>
      <c r="F33" s="47"/>
      <c r="G33" s="47"/>
      <c r="H33" s="47"/>
      <c r="I33" s="8">
        <v>255645.94059810924</v>
      </c>
      <c r="J33" s="30">
        <f>SUM(J34:J35)</f>
        <v>104829.55</v>
      </c>
      <c r="K33" s="34">
        <f t="shared" si="0"/>
        <v>0.410057557553</v>
      </c>
    </row>
    <row r="34" spans="1:11" ht="15.75" thickBot="1" x14ac:dyDescent="0.3">
      <c r="A34" s="11" t="s">
        <v>74</v>
      </c>
      <c r="B34" s="46" t="s">
        <v>52</v>
      </c>
      <c r="C34" s="46"/>
      <c r="D34" s="46"/>
      <c r="E34" s="46"/>
      <c r="F34" s="46"/>
      <c r="G34" s="46"/>
      <c r="H34" s="46"/>
      <c r="I34" s="12">
        <v>145718.18614092228</v>
      </c>
      <c r="J34" s="31">
        <f>34171.26+39462.15</f>
        <v>73633.41</v>
      </c>
      <c r="K34" s="34">
        <f t="shared" si="0"/>
        <v>0.50531379747473681</v>
      </c>
    </row>
    <row r="35" spans="1:11" ht="15.75" thickBot="1" x14ac:dyDescent="0.3">
      <c r="A35" s="11" t="s">
        <v>73</v>
      </c>
      <c r="B35" s="46" t="s">
        <v>72</v>
      </c>
      <c r="C35" s="46"/>
      <c r="D35" s="46"/>
      <c r="E35" s="46"/>
      <c r="F35" s="46"/>
      <c r="G35" s="46"/>
      <c r="H35" s="46"/>
      <c r="I35" s="12">
        <v>109927.75445718698</v>
      </c>
      <c r="J35" s="31">
        <f>142.54+4038.43+63.74+8240.66+472.43+350.12+117.66+4268.31+574.09+2385.49+5221+5321.67</f>
        <v>31196.14</v>
      </c>
      <c r="K35" s="34">
        <f t="shared" si="0"/>
        <v>0.28378765812186046</v>
      </c>
    </row>
    <row r="36" spans="1:11" ht="33" customHeight="1" thickBot="1" x14ac:dyDescent="0.3">
      <c r="A36" s="17" t="s">
        <v>113</v>
      </c>
      <c r="B36" s="47" t="s">
        <v>71</v>
      </c>
      <c r="C36" s="47"/>
      <c r="D36" s="47"/>
      <c r="E36" s="47"/>
      <c r="F36" s="47"/>
      <c r="G36" s="47"/>
      <c r="H36" s="47"/>
      <c r="I36" s="8">
        <v>48572.728713640754</v>
      </c>
      <c r="J36" s="30">
        <v>12868.61</v>
      </c>
      <c r="K36" s="34">
        <f t="shared" si="0"/>
        <v>0.2649348789084211</v>
      </c>
    </row>
    <row r="37" spans="1:11" ht="15.75" thickBot="1" x14ac:dyDescent="0.3">
      <c r="A37" s="17" t="s">
        <v>112</v>
      </c>
      <c r="B37" s="47" t="s">
        <v>131</v>
      </c>
      <c r="C37" s="47"/>
      <c r="D37" s="47"/>
      <c r="E37" s="47"/>
      <c r="F37" s="47"/>
      <c r="G37" s="47"/>
      <c r="H37" s="47"/>
      <c r="I37" s="8">
        <v>33233.972277754205</v>
      </c>
      <c r="J37" s="30">
        <v>4349.3900000000003</v>
      </c>
      <c r="K37" s="34">
        <f t="shared" si="0"/>
        <v>0.13087180682615385</v>
      </c>
    </row>
    <row r="38" spans="1:11" ht="39" customHeight="1" thickBot="1" x14ac:dyDescent="0.3">
      <c r="A38" s="17" t="s">
        <v>111</v>
      </c>
      <c r="B38" s="47" t="s">
        <v>70</v>
      </c>
      <c r="C38" s="47"/>
      <c r="D38" s="47"/>
      <c r="E38" s="47"/>
      <c r="F38" s="47"/>
      <c r="G38" s="47"/>
      <c r="H38" s="47"/>
      <c r="I38" s="8">
        <v>197869.95802293657</v>
      </c>
      <c r="J38" s="30">
        <f>J39+J43</f>
        <v>76807.72</v>
      </c>
      <c r="K38" s="34">
        <f t="shared" si="0"/>
        <v>0.38817272094987076</v>
      </c>
    </row>
    <row r="39" spans="1:11" ht="15.75" thickBot="1" x14ac:dyDescent="0.3">
      <c r="A39" s="17" t="s">
        <v>69</v>
      </c>
      <c r="B39" s="47" t="s">
        <v>68</v>
      </c>
      <c r="C39" s="47"/>
      <c r="D39" s="47"/>
      <c r="E39" s="47"/>
      <c r="F39" s="47"/>
      <c r="G39" s="47"/>
      <c r="H39" s="47"/>
      <c r="I39" s="8">
        <v>136514.93227939034</v>
      </c>
      <c r="J39" s="30">
        <f>SUM(J40:J42)</f>
        <v>55397.369999999995</v>
      </c>
      <c r="K39" s="34">
        <f t="shared" si="0"/>
        <v>0.40579714669325839</v>
      </c>
    </row>
    <row r="40" spans="1:11" ht="15.75" thickBot="1" x14ac:dyDescent="0.3">
      <c r="A40" s="11" t="s">
        <v>67</v>
      </c>
      <c r="B40" s="46" t="s">
        <v>54</v>
      </c>
      <c r="C40" s="46"/>
      <c r="D40" s="46"/>
      <c r="E40" s="46"/>
      <c r="F40" s="46"/>
      <c r="G40" s="46"/>
      <c r="H40" s="46"/>
      <c r="I40" s="12">
        <v>28121.053465792018</v>
      </c>
      <c r="J40" s="31">
        <f>1768.35+11590.06</f>
        <v>13358.41</v>
      </c>
      <c r="K40" s="34">
        <f t="shared" si="0"/>
        <v>0.47503234600545452</v>
      </c>
    </row>
    <row r="41" spans="1:11" ht="15.75" thickBot="1" x14ac:dyDescent="0.3">
      <c r="A41" s="11" t="s">
        <v>66</v>
      </c>
      <c r="B41" s="46" t="s">
        <v>59</v>
      </c>
      <c r="C41" s="46"/>
      <c r="D41" s="46"/>
      <c r="E41" s="46"/>
      <c r="F41" s="46"/>
      <c r="G41" s="46"/>
      <c r="H41" s="46"/>
      <c r="I41" s="12">
        <v>82829.284753787389</v>
      </c>
      <c r="J41" s="31">
        <f>12545.75+22040.68</f>
        <v>34586.43</v>
      </c>
      <c r="K41" s="34">
        <f t="shared" si="0"/>
        <v>0.41756282337592593</v>
      </c>
    </row>
    <row r="42" spans="1:11" ht="15.75" thickBot="1" x14ac:dyDescent="0.3">
      <c r="A42" s="11" t="s">
        <v>65</v>
      </c>
      <c r="B42" s="46" t="s">
        <v>64</v>
      </c>
      <c r="C42" s="46"/>
      <c r="D42" s="46"/>
      <c r="E42" s="46"/>
      <c r="F42" s="46"/>
      <c r="G42" s="46"/>
      <c r="H42" s="46"/>
      <c r="I42" s="12">
        <v>25564.594059810926</v>
      </c>
      <c r="J42" s="31">
        <v>7452.53</v>
      </c>
      <c r="K42" s="34">
        <f t="shared" si="0"/>
        <v>0.29151763499799999</v>
      </c>
    </row>
    <row r="43" spans="1:11" ht="15.75" thickBot="1" x14ac:dyDescent="0.3">
      <c r="A43" s="17" t="s">
        <v>63</v>
      </c>
      <c r="B43" s="47" t="s">
        <v>62</v>
      </c>
      <c r="C43" s="47"/>
      <c r="D43" s="47"/>
      <c r="E43" s="47"/>
      <c r="F43" s="47"/>
      <c r="G43" s="47"/>
      <c r="H43" s="47"/>
      <c r="I43" s="8">
        <v>61355.025743546219</v>
      </c>
      <c r="J43" s="30">
        <f>SUM(J44:J46)</f>
        <v>21410.35</v>
      </c>
      <c r="K43" s="34">
        <f t="shared" si="0"/>
        <v>0.34895837367083332</v>
      </c>
    </row>
    <row r="44" spans="1:11" ht="15.75" thickBot="1" x14ac:dyDescent="0.3">
      <c r="A44" s="11" t="s">
        <v>61</v>
      </c>
      <c r="B44" s="46" t="s">
        <v>54</v>
      </c>
      <c r="C44" s="46"/>
      <c r="D44" s="46"/>
      <c r="E44" s="46"/>
      <c r="F44" s="46"/>
      <c r="G44" s="46"/>
      <c r="H44" s="46"/>
      <c r="I44" s="12">
        <v>23008.134653829831</v>
      </c>
      <c r="J44" s="31">
        <f>647.25+3166.55+1235.29+2116.07</f>
        <v>7165.16</v>
      </c>
      <c r="K44" s="34">
        <f t="shared" si="0"/>
        <v>0.31141855295111109</v>
      </c>
    </row>
    <row r="45" spans="1:11" ht="15.75" thickBot="1" x14ac:dyDescent="0.3">
      <c r="A45" s="11" t="s">
        <v>60</v>
      </c>
      <c r="B45" s="46" t="s">
        <v>59</v>
      </c>
      <c r="C45" s="46"/>
      <c r="D45" s="46"/>
      <c r="E45" s="46"/>
      <c r="F45" s="46"/>
      <c r="G45" s="46"/>
      <c r="H45" s="46"/>
      <c r="I45" s="12">
        <v>30677.51287177311</v>
      </c>
      <c r="J45" s="31">
        <f>6636.29+7557.78</f>
        <v>14194.07</v>
      </c>
      <c r="K45" s="34">
        <f t="shared" si="0"/>
        <v>0.46268646546833331</v>
      </c>
    </row>
    <row r="46" spans="1:11" ht="15.75" thickBot="1" x14ac:dyDescent="0.3">
      <c r="A46" s="11" t="s">
        <v>58</v>
      </c>
      <c r="B46" s="46" t="s">
        <v>57</v>
      </c>
      <c r="C46" s="46"/>
      <c r="D46" s="46"/>
      <c r="E46" s="46"/>
      <c r="F46" s="46"/>
      <c r="G46" s="46"/>
      <c r="H46" s="46"/>
      <c r="I46" s="12">
        <v>7669.3782179432774</v>
      </c>
      <c r="J46" s="31">
        <v>51.12</v>
      </c>
      <c r="K46" s="34">
        <f t="shared" si="0"/>
        <v>6.66546864E-3</v>
      </c>
    </row>
    <row r="47" spans="1:11" ht="15.75" thickBot="1" x14ac:dyDescent="0.3">
      <c r="A47" s="17" t="s">
        <v>110</v>
      </c>
      <c r="B47" s="47" t="s">
        <v>56</v>
      </c>
      <c r="C47" s="47"/>
      <c r="D47" s="47"/>
      <c r="E47" s="47"/>
      <c r="F47" s="47"/>
      <c r="G47" s="47"/>
      <c r="H47" s="47"/>
      <c r="I47" s="8">
        <v>38346.891089716388</v>
      </c>
      <c r="J47" s="30">
        <f>SUM(J48:J50)</f>
        <v>16435.739999999998</v>
      </c>
      <c r="K47" s="34">
        <f t="shared" si="0"/>
        <v>0.42860684485599992</v>
      </c>
    </row>
    <row r="48" spans="1:11" ht="15.75" thickBot="1" x14ac:dyDescent="0.3">
      <c r="A48" s="11" t="s">
        <v>55</v>
      </c>
      <c r="B48" s="46" t="s">
        <v>54</v>
      </c>
      <c r="C48" s="46"/>
      <c r="D48" s="46"/>
      <c r="E48" s="46"/>
      <c r="F48" s="46"/>
      <c r="G48" s="46"/>
      <c r="H48" s="46"/>
      <c r="I48" s="12">
        <v>1533.8756435886555</v>
      </c>
      <c r="J48" s="31">
        <f>434.59+540.01</f>
        <v>974.59999999999991</v>
      </c>
      <c r="K48" s="34">
        <f t="shared" si="0"/>
        <v>0.63538397266666657</v>
      </c>
    </row>
    <row r="49" spans="1:11" ht="15.75" thickBot="1" x14ac:dyDescent="0.3">
      <c r="A49" s="11" t="s">
        <v>53</v>
      </c>
      <c r="B49" s="46" t="s">
        <v>52</v>
      </c>
      <c r="C49" s="46"/>
      <c r="D49" s="46"/>
      <c r="E49" s="46"/>
      <c r="F49" s="46"/>
      <c r="G49" s="46"/>
      <c r="H49" s="46"/>
      <c r="I49" s="12">
        <v>24030.718416222269</v>
      </c>
      <c r="J49" s="31">
        <f>4968.54+5584.12</f>
        <v>10552.66</v>
      </c>
      <c r="K49" s="34">
        <f t="shared" si="0"/>
        <v>0.43913210654893614</v>
      </c>
    </row>
    <row r="50" spans="1:11" ht="15.75" thickBot="1" x14ac:dyDescent="0.3">
      <c r="A50" s="11" t="s">
        <v>51</v>
      </c>
      <c r="B50" s="46" t="s">
        <v>144</v>
      </c>
      <c r="C50" s="46"/>
      <c r="D50" s="46"/>
      <c r="E50" s="46"/>
      <c r="F50" s="46"/>
      <c r="G50" s="46"/>
      <c r="H50" s="46"/>
      <c r="I50" s="12">
        <v>12782.297029905463</v>
      </c>
      <c r="J50" s="31">
        <f>306.78+4601.7</f>
        <v>4908.4799999999996</v>
      </c>
      <c r="K50" s="34">
        <f t="shared" si="0"/>
        <v>0.38400609753599996</v>
      </c>
    </row>
    <row r="51" spans="1:11" ht="15.75" thickBot="1" x14ac:dyDescent="0.3">
      <c r="A51" s="17" t="s">
        <v>109</v>
      </c>
      <c r="B51" s="47" t="s">
        <v>50</v>
      </c>
      <c r="C51" s="47"/>
      <c r="D51" s="47"/>
      <c r="E51" s="47"/>
      <c r="F51" s="47"/>
      <c r="G51" s="47"/>
      <c r="H51" s="47"/>
      <c r="I51" s="8">
        <v>2045.1675247848739</v>
      </c>
      <c r="J51" s="30"/>
      <c r="K51" s="34">
        <f t="shared" si="0"/>
        <v>0</v>
      </c>
    </row>
    <row r="52" spans="1:11" ht="15.75" thickBot="1" x14ac:dyDescent="0.3">
      <c r="A52" s="17" t="s">
        <v>108</v>
      </c>
      <c r="B52" s="47" t="s">
        <v>49</v>
      </c>
      <c r="C52" s="47"/>
      <c r="D52" s="47"/>
      <c r="E52" s="47"/>
      <c r="F52" s="47"/>
      <c r="G52" s="47"/>
      <c r="H52" s="47"/>
      <c r="I52" s="8">
        <v>15338.756435886555</v>
      </c>
      <c r="J52" s="30">
        <f>38.34+38.34+38.34+38.34+3915.57+216.49+38.34+39.21+2108.98+38.34+424.88</f>
        <v>6935.170000000001</v>
      </c>
      <c r="K52" s="34">
        <f t="shared" si="0"/>
        <v>0.45213378470333337</v>
      </c>
    </row>
    <row r="53" spans="1:11" ht="15.75" thickBot="1" x14ac:dyDescent="0.3">
      <c r="A53" s="17" t="s">
        <v>107</v>
      </c>
      <c r="B53" s="54" t="s">
        <v>48</v>
      </c>
      <c r="C53" s="54"/>
      <c r="D53" s="54"/>
      <c r="E53" s="54"/>
      <c r="F53" s="54"/>
      <c r="G53" s="54"/>
      <c r="H53" s="54"/>
      <c r="I53" s="8">
        <v>6391.1485149527316</v>
      </c>
      <c r="J53" s="30"/>
      <c r="K53" s="34">
        <f t="shared" si="0"/>
        <v>0</v>
      </c>
    </row>
    <row r="54" spans="1:11" ht="15.75" thickBot="1" x14ac:dyDescent="0.3">
      <c r="A54" s="50" t="s">
        <v>47</v>
      </c>
      <c r="B54" s="50"/>
      <c r="C54" s="50"/>
      <c r="D54" s="50"/>
      <c r="E54" s="50"/>
      <c r="F54" s="50"/>
      <c r="G54" s="50"/>
      <c r="H54" s="50"/>
      <c r="I54" s="12"/>
      <c r="J54" s="31"/>
      <c r="K54" s="34"/>
    </row>
    <row r="55" spans="1:11" ht="15.75" thickBot="1" x14ac:dyDescent="0.3">
      <c r="A55" s="17" t="s">
        <v>106</v>
      </c>
      <c r="B55" s="47" t="s">
        <v>46</v>
      </c>
      <c r="C55" s="47"/>
      <c r="D55" s="47"/>
      <c r="E55" s="47"/>
      <c r="F55" s="47"/>
      <c r="G55" s="47"/>
      <c r="H55" s="47"/>
      <c r="I55" s="8">
        <v>25564.594059810926</v>
      </c>
      <c r="J55" s="30">
        <f>10887.59+4884</f>
        <v>15771.59</v>
      </c>
      <c r="K55" s="34">
        <f t="shared" si="0"/>
        <v>0.61693097739399994</v>
      </c>
    </row>
    <row r="56" spans="1:11" ht="15.75" thickBot="1" x14ac:dyDescent="0.3">
      <c r="A56" s="17" t="s">
        <v>105</v>
      </c>
      <c r="B56" s="47" t="s">
        <v>45</v>
      </c>
      <c r="C56" s="47"/>
      <c r="D56" s="47"/>
      <c r="E56" s="47"/>
      <c r="F56" s="47"/>
      <c r="G56" s="47"/>
      <c r="H56" s="47"/>
      <c r="I56" s="8">
        <v>28121.053465792018</v>
      </c>
      <c r="J56" s="30">
        <f>SUM(J57:J58)</f>
        <v>8112.7499999999991</v>
      </c>
      <c r="K56" s="34">
        <f t="shared" si="0"/>
        <v>0.28849381513636357</v>
      </c>
    </row>
    <row r="57" spans="1:11" ht="15.75" thickBot="1" x14ac:dyDescent="0.3">
      <c r="A57" s="13" t="s">
        <v>135</v>
      </c>
      <c r="B57" s="46" t="s">
        <v>52</v>
      </c>
      <c r="C57" s="46"/>
      <c r="D57" s="46"/>
      <c r="E57" s="46"/>
      <c r="F57" s="46"/>
      <c r="G57" s="46"/>
      <c r="H57" s="46"/>
      <c r="I57" s="12">
        <v>23008.134653829831</v>
      </c>
      <c r="J57" s="31">
        <f>1003.23+4609.07</f>
        <v>5612.2999999999993</v>
      </c>
      <c r="K57" s="34">
        <f t="shared" si="0"/>
        <v>0.2439267713111111</v>
      </c>
    </row>
    <row r="58" spans="1:11" ht="15.75" thickBot="1" x14ac:dyDescent="0.3">
      <c r="A58" s="13" t="s">
        <v>136</v>
      </c>
      <c r="B58" s="46" t="s">
        <v>137</v>
      </c>
      <c r="C58" s="46"/>
      <c r="D58" s="46"/>
      <c r="E58" s="46"/>
      <c r="F58" s="46"/>
      <c r="G58" s="46"/>
      <c r="H58" s="46"/>
      <c r="I58" s="12">
        <v>5112.9188119621849</v>
      </c>
      <c r="J58" s="31">
        <f>2480+20.45</f>
        <v>2500.4499999999998</v>
      </c>
      <c r="K58" s="34">
        <f t="shared" si="0"/>
        <v>0.48904551234999993</v>
      </c>
    </row>
    <row r="59" spans="1:11" ht="15.75" thickBot="1" x14ac:dyDescent="0.3">
      <c r="A59" s="17" t="s">
        <v>104</v>
      </c>
      <c r="B59" s="47" t="s">
        <v>44</v>
      </c>
      <c r="C59" s="47"/>
      <c r="D59" s="47"/>
      <c r="E59" s="47"/>
      <c r="F59" s="47"/>
      <c r="G59" s="47"/>
      <c r="H59" s="47"/>
      <c r="I59" s="8">
        <v>63911.485149527311</v>
      </c>
      <c r="J59" s="30">
        <f>183.04+2787.12</f>
        <v>2970.16</v>
      </c>
      <c r="K59" s="34">
        <f t="shared" si="0"/>
        <v>4.6473024262399999E-2</v>
      </c>
    </row>
    <row r="60" spans="1:11" ht="15.75" thickBot="1" x14ac:dyDescent="0.3">
      <c r="A60" s="58" t="s">
        <v>43</v>
      </c>
      <c r="B60" s="58"/>
      <c r="C60" s="58"/>
      <c r="D60" s="58"/>
      <c r="E60" s="58"/>
      <c r="F60" s="58"/>
      <c r="G60" s="58"/>
      <c r="H60" s="58"/>
      <c r="I60" s="16"/>
      <c r="J60" s="32"/>
      <c r="K60" s="34"/>
    </row>
    <row r="61" spans="1:11" ht="15.75" thickBot="1" x14ac:dyDescent="0.3">
      <c r="A61" s="9" t="s">
        <v>103</v>
      </c>
      <c r="B61" s="59" t="s">
        <v>42</v>
      </c>
      <c r="C61" s="59"/>
      <c r="D61" s="59"/>
      <c r="E61" s="59"/>
      <c r="F61" s="59"/>
      <c r="G61" s="59"/>
      <c r="H61" s="59"/>
      <c r="I61" s="24">
        <v>15338.756435886555</v>
      </c>
      <c r="J61" s="29">
        <v>77.78</v>
      </c>
      <c r="K61" s="34">
        <f t="shared" si="0"/>
        <v>5.0708152466666665E-3</v>
      </c>
    </row>
    <row r="62" spans="1:11" ht="15.75" thickBot="1" x14ac:dyDescent="0.3">
      <c r="A62" s="15"/>
      <c r="B62" s="55"/>
      <c r="C62" s="56"/>
      <c r="D62" s="56"/>
      <c r="E62" s="56"/>
      <c r="F62" s="56"/>
      <c r="G62" s="56"/>
      <c r="H62" s="57"/>
      <c r="I62" s="10"/>
      <c r="J62" s="26"/>
      <c r="K62" s="34"/>
    </row>
    <row r="63" spans="1:11" ht="15.75" thickBot="1" x14ac:dyDescent="0.3">
      <c r="A63" s="14"/>
      <c r="B63" s="40" t="s">
        <v>41</v>
      </c>
      <c r="C63" s="40"/>
      <c r="D63" s="40"/>
      <c r="E63" s="40"/>
      <c r="F63" s="40"/>
      <c r="G63" s="40"/>
      <c r="H63" s="40"/>
      <c r="I63" s="18">
        <f>SUM(I6+I8+I12+I13+I16+I19+I23+I26+I27+I28+I29+I32+I33+I36+I37+I38+I47+I51+I52+I53+I55+I56+I59+I61)</f>
        <v>1394037.3140814896</v>
      </c>
      <c r="J63" s="27">
        <f>SUM(J6+J8+J12+J13+J16+J19+J23+J26+J27+J28+J29+J32+J33+J36+J37+J38+J47+J51+J52+J53+J55+J56+J59+J61)</f>
        <v>559803.4</v>
      </c>
      <c r="K63" s="34">
        <f t="shared" si="0"/>
        <v>0.40156988220135709</v>
      </c>
    </row>
    <row r="64" spans="1:11" ht="15.75" thickBot="1" x14ac:dyDescent="0.3">
      <c r="A64" s="14"/>
      <c r="B64" s="40" t="s">
        <v>28</v>
      </c>
      <c r="C64" s="40"/>
      <c r="D64" s="40"/>
      <c r="E64" s="40"/>
      <c r="F64" s="40"/>
      <c r="G64" s="40"/>
      <c r="H64" s="40"/>
      <c r="I64" s="18">
        <v>1394037.3140814898</v>
      </c>
      <c r="J64" s="27">
        <f>Приходи!J33</f>
        <v>693963.66000000015</v>
      </c>
      <c r="K64" s="34">
        <f t="shared" si="0"/>
        <v>0.49780852563278938</v>
      </c>
    </row>
    <row r="65" spans="1:11" ht="15.75" thickBot="1" x14ac:dyDescent="0.3">
      <c r="A65" s="41" t="s">
        <v>130</v>
      </c>
      <c r="B65" s="42"/>
      <c r="C65" s="42"/>
      <c r="D65" s="42"/>
      <c r="E65" s="42"/>
      <c r="F65" s="42"/>
      <c r="G65" s="42"/>
      <c r="H65" s="43"/>
      <c r="I65" s="7">
        <f>+I64-I63</f>
        <v>0</v>
      </c>
      <c r="J65" s="28">
        <f>J64-J63</f>
        <v>134160.26000000013</v>
      </c>
      <c r="K65" s="33"/>
    </row>
  </sheetData>
  <mergeCells count="64">
    <mergeCell ref="A2:I2"/>
    <mergeCell ref="A65:H65"/>
    <mergeCell ref="B24:H24"/>
    <mergeCell ref="B25:H25"/>
    <mergeCell ref="B15:H15"/>
    <mergeCell ref="A5:H5"/>
    <mergeCell ref="B26:H26"/>
    <mergeCell ref="B16:H16"/>
    <mergeCell ref="B19:H19"/>
    <mergeCell ref="B20:H20"/>
    <mergeCell ref="B21:H21"/>
    <mergeCell ref="B17:H17"/>
    <mergeCell ref="B18:H18"/>
    <mergeCell ref="A3:I3"/>
    <mergeCell ref="B39:H39"/>
    <mergeCell ref="B51:H51"/>
    <mergeCell ref="A4:H4"/>
    <mergeCell ref="B28:H28"/>
    <mergeCell ref="B29:H29"/>
    <mergeCell ref="B30:H30"/>
    <mergeCell ref="B22:H22"/>
    <mergeCell ref="B12:H12"/>
    <mergeCell ref="B6:H6"/>
    <mergeCell ref="B23:H23"/>
    <mergeCell ref="B7:H7"/>
    <mergeCell ref="B27:H27"/>
    <mergeCell ref="B8:H8"/>
    <mergeCell ref="B9:H9"/>
    <mergeCell ref="B10:H10"/>
    <mergeCell ref="B11:H11"/>
    <mergeCell ref="B13:H13"/>
    <mergeCell ref="B14:H14"/>
    <mergeCell ref="B35:H35"/>
    <mergeCell ref="B34:H34"/>
    <mergeCell ref="B31:H31"/>
    <mergeCell ref="B32:H32"/>
    <mergeCell ref="B33:H33"/>
    <mergeCell ref="B64:H64"/>
    <mergeCell ref="B45:H45"/>
    <mergeCell ref="B49:H49"/>
    <mergeCell ref="B44:H44"/>
    <mergeCell ref="A60:H60"/>
    <mergeCell ref="B52:H52"/>
    <mergeCell ref="B46:H46"/>
    <mergeCell ref="B63:H63"/>
    <mergeCell ref="B53:H53"/>
    <mergeCell ref="A54:H54"/>
    <mergeCell ref="B55:H55"/>
    <mergeCell ref="B61:H61"/>
    <mergeCell ref="B56:H56"/>
    <mergeCell ref="B59:H59"/>
    <mergeCell ref="B57:H57"/>
    <mergeCell ref="B58:H58"/>
    <mergeCell ref="B62:H62"/>
    <mergeCell ref="B38:H38"/>
    <mergeCell ref="B40:H40"/>
    <mergeCell ref="B36:H36"/>
    <mergeCell ref="B37:H37"/>
    <mergeCell ref="B50:H50"/>
    <mergeCell ref="B43:H43"/>
    <mergeCell ref="B41:H41"/>
    <mergeCell ref="B42:H42"/>
    <mergeCell ref="B47:H47"/>
    <mergeCell ref="B48:H48"/>
  </mergeCells>
  <conditionalFormatting sqref="K6:K64">
    <cfRule type="cellIs" dxfId="0" priority="1" operator="greaterThan">
      <formula>1</formula>
    </cfRule>
  </conditionalFormatting>
  <printOptions gridLines="1"/>
  <pageMargins left="0.23622047244094491" right="0.23622047244094491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Приходи</vt:lpstr>
      <vt:lpstr>Разходи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Hristо Hinov</cp:lastModifiedBy>
  <cp:lastPrinted>2023-07-19T11:17:28Z</cp:lastPrinted>
  <dcterms:created xsi:type="dcterms:W3CDTF">2022-12-20T14:44:31Z</dcterms:created>
  <dcterms:modified xsi:type="dcterms:W3CDTF">2026-08-06T08:42:28Z</dcterms:modified>
</cp:coreProperties>
</file>